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venue Forecast" sheetId="1" r:id="rId4"/>
    <sheet state="visible" name="Labor Forecast" sheetId="2" r:id="rId5"/>
  </sheets>
  <definedNames/>
  <calcPr/>
</workbook>
</file>

<file path=xl/sharedStrings.xml><?xml version="1.0" encoding="utf-8"?>
<sst xmlns="http://schemas.openxmlformats.org/spreadsheetml/2006/main" count="160" uniqueCount="62">
  <si>
    <t>Budget 2023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</si>
  <si>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</si>
  <si>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</si>
  <si>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</si>
  <si>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</si>
  <si>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</si>
  <si>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</si>
  <si>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</si>
  <si>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</si>
  <si>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</si>
  <si>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</si>
  <si>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</si>
  <si>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</si>
  <si>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Goal</t>
  </si>
  <si>
    <t>Department Names</t>
  </si>
  <si>
    <t>New Const. Doors</t>
  </si>
  <si>
    <t>Retrofit Doors</t>
  </si>
  <si>
    <t>Storage and Flooring</t>
  </si>
  <si>
    <t>Revenue</t>
  </si>
  <si>
    <t>Jobs needed</t>
  </si>
  <si>
    <t>Techs Needed</t>
  </si>
  <si>
    <t>Jobs Needed</t>
  </si>
  <si>
    <t xml:space="preserve">Revenue </t>
  </si>
  <si>
    <t>COGS Breakout</t>
  </si>
  <si>
    <t>Total</t>
  </si>
  <si>
    <t>Total GP $</t>
  </si>
  <si>
    <t>Total GP%</t>
  </si>
  <si>
    <t>OVERHEAD</t>
  </si>
  <si>
    <t>Advertising &amp; Marketing</t>
  </si>
  <si>
    <t>600100 MARKETING</t>
  </si>
  <si>
    <t>Marketing Budget Per Labor Forecast Sheet:</t>
  </si>
  <si>
    <t>Other Overhead Expenses</t>
  </si>
  <si>
    <t>Office Labor</t>
  </si>
  <si>
    <t>Insurance</t>
  </si>
  <si>
    <t>Overhead</t>
  </si>
  <si>
    <t>(Overhead Percentage)</t>
  </si>
  <si>
    <t>EBITDA</t>
  </si>
  <si>
    <t>YTD EBITDA</t>
  </si>
  <si>
    <t>Expected Cash</t>
  </si>
  <si>
    <t>Average Ticket</t>
  </si>
  <si>
    <t>Call Booking Rate</t>
  </si>
  <si>
    <t>Conversion Rate</t>
  </si>
  <si>
    <t>Calls ran per tech per day</t>
  </si>
  <si>
    <t>Percentage of new customers</t>
  </si>
  <si>
    <t>Avg Cost of New Cust. Call</t>
  </si>
  <si>
    <t>January</t>
  </si>
  <si>
    <t>Jobs Needed to sell</t>
  </si>
  <si>
    <t>Jobs needed to run</t>
  </si>
  <si>
    <t>Phone Calls needed</t>
  </si>
  <si>
    <t>Techs needed per month</t>
  </si>
  <si>
    <t>Marketing Budget</t>
  </si>
  <si>
    <t>Close Rate</t>
  </si>
  <si>
    <t>Job Per Day Per Tech</t>
  </si>
  <si>
    <t>Calls Per tech Per day</t>
  </si>
  <si>
    <t>Techs Needed Per Month</t>
  </si>
  <si>
    <t>CSR Section</t>
  </si>
  <si>
    <t>Calls per Month per CSR</t>
  </si>
  <si>
    <t>Total Jobs Needed to Sell</t>
  </si>
  <si>
    <t xml:space="preserve">Total  Job Needed to Run </t>
  </si>
  <si>
    <t xml:space="preserve">Total Calls Needed </t>
  </si>
  <si>
    <t>Total Marketing Budget</t>
  </si>
  <si>
    <t>CSR's needed per month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</si>
</sst>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0000"/>
    <numFmt numFmtId="165" formatCode="&quot;$&quot;#,##0.00"/>
    <numFmt numFmtId="166" formatCode="&quot;$&quot;#,##0"/>
    <numFmt numFmtId="167" formatCode="#,##0.0"/>
    <numFmt numFmtId="168" formatCode="0.0"/>
  </numFmts>
  <fonts count="9">
    <font>
      <sz val="10.0"/>
      <color rgb="FF000000"/>
      <name val="Arial"/>
      <scheme val="minor"/>
    </font>
    <font>
      <sz val="11.0"/>
      <color rgb="FF000000"/>
      <name val="Calibri"/>
    </font>
    <font>
      <sz val="11.0"/>
      <color rgb="FF000000"/>
      <name val="Arial"/>
    </font>
    <font>
      <b/>
      <sz val="12.0"/>
      <color rgb="FF000000"/>
      <name val="Calibri"/>
    </font>
    <font>
      <b/>
      <sz val="11.0"/>
      <color rgb="FF000000"/>
      <name val="Calibri"/>
    </font>
    <font>
      <color rgb="FF000000"/>
      <name val="Calibri"/>
    </font>
    <font>
      <color theme="1"/>
      <name val="Arial"/>
      <scheme val="minor"/>
    </font>
    <font>
      <sz val="8.0"/>
      <color rgb="FF000000"/>
      <name val="Calibri"/>
    </font>
    <font>
      <b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EBF1DE"/>
        <bgColor rgb="FFEBF1DE"/>
      </patternFill>
    </fill>
    <fill>
      <patternFill patternType="solid">
        <fgColor rgb="FFFDE9D9"/>
        <bgColor rgb="FFFDE9D9"/>
      </patternFill>
    </fill>
  </fills>
  <borders count="1">
    <border/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0" fontId="1" numFmtId="10" xfId="0" applyAlignment="1" applyFont="1" applyNumberFormat="1">
      <alignment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shrinkToFit="0" vertical="bottom" wrapText="0"/>
    </xf>
    <xf borderId="0" fillId="0" fontId="1" numFmtId="164" xfId="0" applyAlignment="1" applyFont="1" applyNumberFormat="1">
      <alignment readingOrder="0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1" numFmtId="165" xfId="0" applyAlignment="1" applyFont="1" applyNumberFormat="1">
      <alignment shrinkToFit="0" vertical="bottom" wrapText="0"/>
    </xf>
    <xf borderId="0" fillId="2" fontId="1" numFmtId="0" xfId="0" applyAlignment="1" applyFill="1" applyFont="1">
      <alignment readingOrder="0" shrinkToFit="0" vertical="bottom" wrapText="0"/>
    </xf>
    <xf borderId="0" fillId="3" fontId="3" numFmtId="0" xfId="0" applyAlignment="1" applyFill="1" applyFont="1">
      <alignment readingOrder="0" shrinkToFit="0" vertical="bottom" wrapText="0"/>
    </xf>
    <xf borderId="0" fillId="3" fontId="4" numFmtId="166" xfId="0" applyAlignment="1" applyFont="1" applyNumberFormat="1">
      <alignment shrinkToFit="0" vertical="bottom" wrapText="0"/>
    </xf>
    <xf borderId="0" fillId="0" fontId="1" numFmtId="3" xfId="0" applyAlignment="1" applyFont="1" applyNumberForma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2" fontId="1" numFmtId="10" xfId="0" applyAlignment="1" applyFont="1" applyNumberFormat="1">
      <alignment shrinkToFit="0" vertical="bottom" wrapText="0"/>
    </xf>
    <xf borderId="0" fillId="4" fontId="3" numFmtId="0" xfId="0" applyAlignment="1" applyFill="1" applyFont="1">
      <alignment readingOrder="0" shrinkToFit="0" vertical="bottom" wrapText="0"/>
    </xf>
    <xf borderId="0" fillId="4" fontId="4" numFmtId="3" xfId="0" applyAlignment="1" applyFont="1" applyNumberFormat="1">
      <alignment shrinkToFit="0" vertical="bottom" wrapText="0"/>
    </xf>
    <xf borderId="0" fillId="0" fontId="1" numFmtId="0" xfId="0" applyAlignment="1" applyFont="1">
      <alignment horizontal="right" readingOrder="0" shrinkToFit="0" vertical="bottom" wrapText="0"/>
    </xf>
    <xf borderId="0" fillId="4" fontId="4" numFmtId="167" xfId="0" applyAlignment="1" applyFont="1" applyNumberFormat="1">
      <alignment shrinkToFit="0" vertical="bottom" wrapText="0"/>
    </xf>
    <xf borderId="0" fillId="4" fontId="4" numFmtId="166" xfId="0" applyAlignment="1" applyFont="1" applyNumberFormat="1">
      <alignment shrinkToFit="0" vertical="bottom" wrapText="0"/>
    </xf>
    <xf borderId="0" fillId="0" fontId="1" numFmtId="10" xfId="0" applyAlignment="1" applyFont="1" applyNumberFormat="1">
      <alignment horizontal="right" readingOrder="0" shrinkToFit="0" vertical="bottom" wrapText="0"/>
    </xf>
    <xf borderId="0" fillId="2" fontId="4" numFmtId="166" xfId="0" applyAlignment="1" applyFont="1" applyNumberFormat="1">
      <alignment readingOrder="0" shrinkToFit="0" vertical="bottom" wrapText="0"/>
    </xf>
    <xf borderId="0" fillId="0" fontId="1" numFmtId="10" xfId="0" applyAlignment="1" applyFont="1" applyNumberFormat="1">
      <alignment readingOrder="0" shrinkToFit="0" vertical="bottom" wrapText="0"/>
    </xf>
    <xf borderId="0" fillId="5" fontId="3" numFmtId="3" xfId="0" applyAlignment="1" applyFill="1" applyFont="1" applyNumberFormat="1">
      <alignment readingOrder="0" shrinkToFit="0" vertical="bottom" wrapText="0"/>
    </xf>
    <xf borderId="0" fillId="5" fontId="4" numFmtId="3" xfId="0" applyAlignment="1" applyFont="1" applyNumberFormat="1">
      <alignment shrinkToFit="0" vertical="bottom" wrapText="0"/>
    </xf>
    <xf borderId="0" fillId="0" fontId="1" numFmtId="3" xfId="0" applyAlignment="1" applyFont="1" applyNumberFormat="1">
      <alignment horizontal="right" shrinkToFit="0" vertical="bottom" wrapText="0"/>
    </xf>
    <xf borderId="0" fillId="0" fontId="6" numFmtId="3" xfId="0" applyFont="1" applyNumberFormat="1"/>
    <xf borderId="0" fillId="5" fontId="3" numFmtId="0" xfId="0" applyAlignment="1" applyFont="1">
      <alignment readingOrder="0" shrinkToFit="0" vertical="bottom" wrapText="0"/>
    </xf>
    <xf borderId="0" fillId="5" fontId="4" numFmtId="4" xfId="0" applyAlignment="1" applyFont="1" applyNumberFormat="1">
      <alignment shrinkToFit="0" vertical="bottom" wrapText="0"/>
    </xf>
    <xf borderId="0" fillId="5" fontId="4" numFmtId="4" xfId="0" applyAlignment="1" applyFont="1" applyNumberFormat="1">
      <alignment readingOrder="0" shrinkToFit="0" vertical="bottom" wrapText="0"/>
    </xf>
    <xf borderId="0" fillId="5" fontId="4" numFmtId="166" xfId="0" applyAlignment="1" applyFont="1" applyNumberFormat="1">
      <alignment shrinkToFit="0" vertical="bottom" wrapText="0"/>
    </xf>
    <xf borderId="0" fillId="0" fontId="4" numFmtId="10" xfId="0" applyAlignment="1" applyFont="1" applyNumberFormat="1">
      <alignment shrinkToFit="0" vertical="bottom" wrapText="0"/>
    </xf>
    <xf borderId="0" fillId="2" fontId="1" numFmtId="10" xfId="0" applyAlignment="1" applyFont="1" applyNumberFormat="1">
      <alignment readingOrder="0" shrinkToFit="0" vertical="bottom" wrapText="0"/>
    </xf>
    <xf borderId="0" fillId="6" fontId="3" numFmtId="0" xfId="0" applyAlignment="1" applyFill="1" applyFont="1">
      <alignment readingOrder="0" shrinkToFit="0" vertical="bottom" wrapText="0"/>
    </xf>
    <xf borderId="0" fillId="6" fontId="4" numFmtId="4" xfId="0" applyAlignment="1" applyFont="1" applyNumberFormat="1">
      <alignment shrinkToFit="0" vertical="bottom" wrapText="0"/>
    </xf>
    <xf borderId="0" fillId="6" fontId="4" numFmtId="167" xfId="0" applyAlignment="1" applyFont="1" applyNumberFormat="1">
      <alignment shrinkToFit="0" vertical="bottom" wrapText="0"/>
    </xf>
    <xf borderId="0" fillId="6" fontId="4" numFmtId="166" xfId="0" applyAlignment="1" applyFont="1" applyNumberFormat="1">
      <alignment readingOrder="0" shrinkToFit="0" vertical="bottom" wrapText="0"/>
    </xf>
    <xf borderId="0" fillId="0" fontId="6" numFmtId="0" xfId="0" applyAlignment="1" applyFont="1">
      <alignment readingOrder="0"/>
    </xf>
    <xf borderId="0" fillId="0" fontId="1" numFmtId="3" xfId="0" applyAlignment="1" applyFont="1" applyNumberFormat="1">
      <alignment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166" xfId="0" applyAlignment="1" applyFont="1" applyNumberFormat="1">
      <alignment shrinkToFit="0" vertical="bottom" wrapText="0"/>
    </xf>
    <xf borderId="0" fillId="0" fontId="6" numFmtId="0" xfId="0" applyFont="1"/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3" xfId="0" applyAlignment="1" applyFont="1" applyNumberFormat="1">
      <alignment horizontal="left" readingOrder="0" vertical="bottom"/>
    </xf>
    <xf borderId="0" fillId="0" fontId="6" numFmtId="10" xfId="0" applyFont="1" applyNumberFormat="1"/>
    <xf borderId="0" fillId="0" fontId="1" numFmtId="4" xfId="0" applyAlignment="1" applyFont="1" applyNumberFormat="1">
      <alignment horizontal="left" readingOrder="0" shrinkToFit="0" vertical="bottom" wrapText="0"/>
    </xf>
    <xf borderId="0" fillId="0" fontId="1" numFmtId="3" xfId="0" applyAlignment="1" applyFont="1" applyNumberFormat="1">
      <alignment horizontal="left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1" numFmtId="165" xfId="0" applyAlignment="1" applyFont="1" applyNumberFormat="1">
      <alignment readingOrder="0" shrinkToFit="0" vertical="bottom" wrapText="0"/>
    </xf>
    <xf borderId="0" fillId="0" fontId="1" numFmtId="166" xfId="0" applyAlignment="1" applyFont="1" applyNumberFormat="1">
      <alignment readingOrder="0" shrinkToFit="0" vertical="bottom" wrapText="0"/>
    </xf>
    <xf borderId="0" fillId="0" fontId="1" numFmtId="3" xfId="0" applyAlignment="1" applyFont="1" applyNumberFormat="1">
      <alignment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2" fontId="4" numFmtId="4" xfId="0" applyAlignment="1" applyFont="1" applyNumberFormat="1">
      <alignment horizontal="left" readingOrder="0" shrinkToFit="0" vertical="bottom" wrapText="0"/>
    </xf>
    <xf borderId="0" fillId="2" fontId="4" numFmtId="3" xfId="0" applyAlignment="1" applyFont="1" applyNumberFormat="1">
      <alignment horizontal="left" readingOrder="0" shrinkToFit="0" vertical="bottom" wrapText="0"/>
    </xf>
    <xf borderId="0" fillId="0" fontId="4" numFmtId="3" xfId="0" applyAlignment="1" applyFont="1" applyNumberFormat="1">
      <alignment horizontal="left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7" numFmtId="165" xfId="0" applyAlignment="1" applyFont="1" applyNumberFormat="1">
      <alignment shrinkToFit="0" vertical="bottom" wrapText="0"/>
    </xf>
    <xf borderId="0" fillId="0" fontId="7" numFmtId="3" xfId="0" applyAlignment="1" applyFont="1" applyNumberFormat="1">
      <alignment shrinkToFit="0" vertical="bottom" wrapText="0"/>
    </xf>
    <xf borderId="0" fillId="2" fontId="1" numFmtId="0" xfId="0" applyAlignment="1" applyFont="1">
      <alignment shrinkToFit="0" vertical="bottom" wrapText="0"/>
    </xf>
    <xf borderId="0" fillId="2" fontId="1" numFmtId="0" xfId="0" applyAlignment="1" applyFont="1">
      <alignment shrinkToFit="0" vertical="bottom" wrapText="0"/>
    </xf>
    <xf borderId="0" fillId="2" fontId="1" numFmtId="3" xfId="0" applyAlignment="1" applyFont="1" applyNumberFormat="1">
      <alignment shrinkToFit="0" vertical="bottom" wrapText="0"/>
    </xf>
    <xf borderId="0" fillId="0" fontId="1" numFmtId="1" xfId="0" applyAlignment="1" applyFont="1" applyNumberFormat="1">
      <alignment shrinkToFit="0" vertical="bottom" wrapText="0"/>
    </xf>
    <xf borderId="0" fillId="0" fontId="6" numFmtId="166" xfId="0" applyFont="1" applyNumberFormat="1"/>
    <xf borderId="0" fillId="0" fontId="6" numFmtId="166" xfId="0" applyAlignment="1" applyFont="1" applyNumberFormat="1">
      <alignment readingOrder="0"/>
    </xf>
    <xf borderId="0" fillId="0" fontId="8" numFmtId="0" xfId="0" applyAlignment="1" applyFont="1">
      <alignment readingOrder="0"/>
    </xf>
    <xf borderId="0" fillId="2" fontId="6" numFmtId="0" xfId="0" applyAlignment="1" applyFont="1">
      <alignment readingOrder="0"/>
    </xf>
    <xf borderId="0" fillId="2" fontId="6" numFmtId="10" xfId="0" applyAlignment="1" applyFont="1" applyNumberFormat="1">
      <alignment readingOrder="0"/>
    </xf>
    <xf borderId="0" fillId="0" fontId="6" numFmtId="0" xfId="0" applyFont="1"/>
    <xf borderId="0" fillId="0" fontId="6" numFmtId="166" xfId="0" applyFont="1" applyNumberFormat="1"/>
    <xf borderId="0" fillId="0" fontId="6" numFmtId="1" xfId="0" applyFont="1" applyNumberFormat="1"/>
    <xf borderId="0" fillId="0" fontId="6" numFmtId="168" xfId="0" applyFont="1" applyNumberFormat="1"/>
    <xf borderId="0" fillId="0" fontId="6" numFmtId="165" xfId="0" applyFont="1" applyNumberFormat="1"/>
    <xf borderId="0" fillId="0" fontId="6" numFmtId="4" xfId="0" applyFont="1" applyNumberFormat="1"/>
    <xf borderId="0" fillId="0" fontId="6" numFmtId="10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haredStrings" Target="sharedStrings.xml"/><Relationship Id="rId7" Type="http://schemas.openxmlformats.org/officeDocument/2006/relationships/customXml" Target="../customXml/item2.xml"/><Relationship Id="rId2" Type="http://schemas.openxmlformats.org/officeDocument/2006/relationships/styles" Target="styles.xml"/><Relationship Id="rId1" Type="http://schemas.openxmlformats.org/officeDocument/2006/relationships/theme" Target="theme/theme1.xml"/><Relationship Id="rId6" Type="http://schemas.openxmlformats.org/officeDocument/2006/relationships/customXml" Target="../customXml/item1.xml"/><Relationship Id="rId5" Type="http://schemas.openxmlformats.org/officeDocument/2006/relationships/worksheet" Target="worksheets/sheet2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2.63" defaultRowHeight="15.75"/>
  <cols>
    <col customWidth="1" min="1" max="1" width="5.38"/>
    <col customWidth="1" min="2" max="2" width="35.0"/>
  </cols>
  <sheetData>
    <row r="1">
      <c r="A1" s="1"/>
      <c r="B1" s="2" t="s">
        <v>0</v>
      </c>
      <c r="C1" s="3"/>
      <c r="D1" s="3"/>
      <c r="E1" s="1"/>
      <c r="F1" s="1"/>
      <c r="G1" s="1"/>
      <c r="H1" s="1"/>
      <c r="I1" s="1"/>
      <c r="J1" s="4"/>
      <c r="K1" s="4"/>
      <c r="L1" s="1"/>
      <c r="M1" s="1"/>
      <c r="N1" s="1"/>
      <c r="O1" s="1"/>
      <c r="P1" s="1"/>
      <c r="Q1" s="1"/>
      <c r="R1" s="1"/>
    </row>
    <row r="2">
      <c r="A2" s="1"/>
      <c r="B2" s="1"/>
      <c r="C2" s="5"/>
      <c r="D2" s="5"/>
      <c r="E2" s="5"/>
      <c r="F2" s="5"/>
      <c r="G2" s="5"/>
      <c r="H2" s="3"/>
      <c r="I2" s="5"/>
      <c r="J2" s="6"/>
      <c r="K2" s="7"/>
      <c r="L2" s="5"/>
      <c r="M2" s="5"/>
      <c r="N2" s="3"/>
      <c r="O2" s="5"/>
      <c r="P2" s="1"/>
      <c r="Q2" s="1"/>
      <c r="R2" s="1"/>
    </row>
    <row r="3">
      <c r="A3" s="1"/>
      <c r="B3" s="1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1"/>
      <c r="Q3" s="1"/>
      <c r="R3" s="1"/>
    </row>
    <row r="4">
      <c r="A4" s="1"/>
      <c r="B4" s="4" t="s">
        <v>14</v>
      </c>
      <c r="C4" s="1"/>
      <c r="D4" s="1"/>
      <c r="E4" s="1"/>
      <c r="F4" s="1"/>
      <c r="G4" s="1"/>
      <c r="H4" s="1"/>
      <c r="I4" s="8"/>
      <c r="J4" s="1"/>
      <c r="K4" s="1"/>
      <c r="L4" s="1"/>
      <c r="M4" s="1"/>
      <c r="N4" s="1"/>
      <c r="O4" s="1"/>
      <c r="P4" s="1"/>
      <c r="Q4" s="4"/>
      <c r="R4" s="1"/>
    </row>
    <row r="5">
      <c r="A5" s="1"/>
      <c r="B5" s="9" t="s">
        <v>15</v>
      </c>
      <c r="C5" s="1"/>
      <c r="D5" s="1"/>
      <c r="E5" s="1"/>
      <c r="F5" s="1"/>
      <c r="G5" s="1"/>
      <c r="H5" s="1"/>
      <c r="I5" s="8"/>
      <c r="J5" s="1"/>
      <c r="K5" s="1"/>
      <c r="L5" s="1"/>
      <c r="M5" s="1"/>
      <c r="N5" s="1"/>
      <c r="O5" s="1"/>
      <c r="P5" s="1"/>
      <c r="Q5" s="4"/>
      <c r="R5" s="1"/>
    </row>
    <row r="6">
      <c r="A6" s="1"/>
      <c r="B6" s="9" t="s">
        <v>16</v>
      </c>
      <c r="C6" s="1"/>
      <c r="D6" s="1"/>
      <c r="E6" s="1"/>
      <c r="F6" s="1"/>
      <c r="G6" s="1"/>
      <c r="H6" s="1"/>
      <c r="I6" s="8"/>
      <c r="J6" s="1"/>
      <c r="K6" s="1"/>
      <c r="L6" s="1"/>
      <c r="M6" s="1"/>
      <c r="N6" s="1"/>
      <c r="O6" s="1"/>
      <c r="P6" s="1"/>
      <c r="Q6" s="4"/>
      <c r="R6" s="1"/>
    </row>
    <row r="7">
      <c r="A7" s="1"/>
      <c r="B7" s="9" t="s">
        <v>17</v>
      </c>
      <c r="C7" s="1"/>
      <c r="D7" s="1"/>
      <c r="E7" s="1"/>
      <c r="F7" s="1"/>
      <c r="G7" s="1"/>
      <c r="H7" s="1"/>
      <c r="I7" s="8"/>
      <c r="J7" s="1"/>
      <c r="K7" s="1"/>
      <c r="L7" s="1"/>
      <c r="M7" s="1"/>
      <c r="N7" s="1"/>
      <c r="O7" s="1"/>
      <c r="P7" s="1"/>
      <c r="Q7" s="4"/>
      <c r="R7" s="1"/>
    </row>
    <row r="8">
      <c r="A8" s="1"/>
      <c r="B8" s="1"/>
      <c r="C8" s="1"/>
      <c r="D8" s="1"/>
      <c r="E8" s="1"/>
      <c r="F8" s="1"/>
      <c r="G8" s="1"/>
      <c r="H8" s="1"/>
      <c r="I8" s="8"/>
      <c r="J8" s="1"/>
      <c r="K8" s="1"/>
      <c r="L8" s="1"/>
      <c r="M8" s="1"/>
      <c r="N8" s="1"/>
      <c r="O8" s="1"/>
      <c r="P8" s="1"/>
      <c r="Q8" s="4"/>
      <c r="R8" s="1"/>
    </row>
    <row r="9">
      <c r="A9" s="1"/>
      <c r="B9" s="10" t="s">
        <v>18</v>
      </c>
      <c r="C9" s="11">
        <f t="shared" ref="C9:N9" si="1">C19+C14+C24</f>
        <v>1926854.268</v>
      </c>
      <c r="D9" s="11">
        <f t="shared" si="1"/>
        <v>2097800.18</v>
      </c>
      <c r="E9" s="11">
        <f t="shared" si="1"/>
        <v>2068368.758</v>
      </c>
      <c r="F9" s="11">
        <f t="shared" si="1"/>
        <v>2629537.828</v>
      </c>
      <c r="G9" s="11">
        <f t="shared" si="1"/>
        <v>4014007.711</v>
      </c>
      <c r="H9" s="11">
        <f t="shared" si="1"/>
        <v>4350725.041</v>
      </c>
      <c r="I9" s="11">
        <f t="shared" si="1"/>
        <v>4228893.439</v>
      </c>
      <c r="J9" s="11">
        <f t="shared" si="1"/>
        <v>3796388.458</v>
      </c>
      <c r="K9" s="11">
        <f t="shared" si="1"/>
        <v>2522754.36</v>
      </c>
      <c r="L9" s="11">
        <f t="shared" si="1"/>
        <v>2136091.149</v>
      </c>
      <c r="M9" s="11">
        <f t="shared" si="1"/>
        <v>2157741.406</v>
      </c>
      <c r="N9" s="11">
        <f t="shared" si="1"/>
        <v>2070835.403</v>
      </c>
      <c r="O9" s="11">
        <f>O14+O19+O24</f>
        <v>34000000</v>
      </c>
      <c r="P9" s="1"/>
      <c r="Q9" s="12"/>
      <c r="R9" s="1"/>
    </row>
    <row r="10">
      <c r="A10" s="1"/>
      <c r="B10" s="1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"/>
      <c r="Q10" s="14"/>
      <c r="R10" s="1"/>
    </row>
    <row r="11">
      <c r="A11" s="1"/>
      <c r="B11" s="13" t="str">
        <f>B5</f>
        <v>New Const. Doors</v>
      </c>
      <c r="C11" s="15">
        <v>0.06332584576771519</v>
      </c>
      <c r="D11" s="15">
        <v>0.05429406524577191</v>
      </c>
      <c r="E11" s="15">
        <v>0.06366921851270757</v>
      </c>
      <c r="F11" s="15">
        <v>0.07629151901876505</v>
      </c>
      <c r="G11" s="15">
        <v>0.09896626370344112</v>
      </c>
      <c r="H11" s="15">
        <v>0.12499518145361507</v>
      </c>
      <c r="I11" s="15">
        <v>0.13775485451598554</v>
      </c>
      <c r="J11" s="15">
        <v>0.11968595067619836</v>
      </c>
      <c r="K11" s="15">
        <v>0.08131938044973816</v>
      </c>
      <c r="L11" s="15">
        <v>0.06686716248207251</v>
      </c>
      <c r="M11" s="15">
        <v>0.0493279167248548</v>
      </c>
      <c r="N11" s="15">
        <v>0.0635026414491348</v>
      </c>
      <c r="O11" s="3">
        <f>sum(C11:N11)</f>
        <v>1</v>
      </c>
      <c r="P11" s="1"/>
      <c r="Q11" s="14"/>
      <c r="R11" s="1"/>
    </row>
    <row r="12">
      <c r="A12" s="1"/>
      <c r="B12" s="16" t="s">
        <v>19</v>
      </c>
      <c r="C12" s="17">
        <f>'Labor Forecast'!C13</f>
        <v>617.8131294</v>
      </c>
      <c r="D12" s="17">
        <f>'Labor Forecast'!D13</f>
        <v>529.6981975</v>
      </c>
      <c r="E12" s="17">
        <f>'Labor Forecast'!E13</f>
        <v>621.1631074</v>
      </c>
      <c r="F12" s="17">
        <f>'Labor Forecast'!F13</f>
        <v>744.3075026</v>
      </c>
      <c r="G12" s="17">
        <f>'Labor Forecast'!G13</f>
        <v>965.5245239</v>
      </c>
      <c r="H12" s="17">
        <f>'Labor Forecast'!H13</f>
        <v>1219.465185</v>
      </c>
      <c r="I12" s="17">
        <f>'Labor Forecast'!I13</f>
        <v>1343.9498</v>
      </c>
      <c r="J12" s="17">
        <f>'Labor Forecast'!J13</f>
        <v>1167.667811</v>
      </c>
      <c r="K12" s="17">
        <f>'Labor Forecast'!K13</f>
        <v>793.3598093</v>
      </c>
      <c r="L12" s="17">
        <f>'Labor Forecast'!L13</f>
        <v>652.3625608</v>
      </c>
      <c r="M12" s="17">
        <f>'Labor Forecast'!M13</f>
        <v>481.247968</v>
      </c>
      <c r="N12" s="17">
        <f>'Labor Forecast'!N13</f>
        <v>619.5379654</v>
      </c>
      <c r="O12" s="17">
        <f>'Labor Forecast'!O13</f>
        <v>9756.097561</v>
      </c>
      <c r="P12" s="1"/>
      <c r="Q12" s="18"/>
      <c r="R12" s="4"/>
    </row>
    <row r="13">
      <c r="A13" s="1"/>
      <c r="B13" s="16" t="s">
        <v>20</v>
      </c>
      <c r="C13" s="19">
        <f>'Labor Forecast'!C17</f>
        <v>9.913561127</v>
      </c>
      <c r="D13" s="19">
        <f>'Labor Forecast'!D17</f>
        <v>8.499650153</v>
      </c>
      <c r="E13" s="19">
        <f>'Labor Forecast'!E17</f>
        <v>9.967315588</v>
      </c>
      <c r="F13" s="19">
        <f>'Labor Forecast'!F17</f>
        <v>11.94331679</v>
      </c>
      <c r="G13" s="19">
        <f>'Labor Forecast'!G17</f>
        <v>15.49301226</v>
      </c>
      <c r="H13" s="19">
        <f>'Labor Forecast'!H17</f>
        <v>19.56779822</v>
      </c>
      <c r="I13" s="19">
        <f>'Labor Forecast'!I17</f>
        <v>21.56530488</v>
      </c>
      <c r="J13" s="19">
        <f>'Labor Forecast'!J17</f>
        <v>18.73664653</v>
      </c>
      <c r="K13" s="19">
        <f>'Labor Forecast'!K17</f>
        <v>12.73042056</v>
      </c>
      <c r="L13" s="19">
        <f>'Labor Forecast'!L17</f>
        <v>10.46794866</v>
      </c>
      <c r="M13" s="19">
        <f>'Labor Forecast'!M17</f>
        <v>7.722207446</v>
      </c>
      <c r="N13" s="19">
        <f>'Labor Forecast'!N17</f>
        <v>9.941238212</v>
      </c>
      <c r="O13" s="20"/>
      <c r="P13" s="1"/>
      <c r="Q13" s="21"/>
      <c r="R13" s="1"/>
    </row>
    <row r="14">
      <c r="A14" s="1"/>
      <c r="B14" s="16" t="s">
        <v>18</v>
      </c>
      <c r="C14" s="20">
        <f t="shared" ref="C14:N14" si="2">C11*$O$14</f>
        <v>506606.7661</v>
      </c>
      <c r="D14" s="20">
        <f t="shared" si="2"/>
        <v>434352.522</v>
      </c>
      <c r="E14" s="20">
        <f t="shared" si="2"/>
        <v>509353.7481</v>
      </c>
      <c r="F14" s="20">
        <f t="shared" si="2"/>
        <v>610332.1522</v>
      </c>
      <c r="G14" s="20">
        <f t="shared" si="2"/>
        <v>791730.1096</v>
      </c>
      <c r="H14" s="20">
        <f t="shared" si="2"/>
        <v>999961.4516</v>
      </c>
      <c r="I14" s="20">
        <f t="shared" si="2"/>
        <v>1102038.836</v>
      </c>
      <c r="J14" s="20">
        <f t="shared" si="2"/>
        <v>957487.6054</v>
      </c>
      <c r="K14" s="20">
        <f t="shared" si="2"/>
        <v>650555.0436</v>
      </c>
      <c r="L14" s="20">
        <f t="shared" si="2"/>
        <v>534937.2999</v>
      </c>
      <c r="M14" s="20">
        <f t="shared" si="2"/>
        <v>394623.3338</v>
      </c>
      <c r="N14" s="20">
        <f t="shared" si="2"/>
        <v>508021.1316</v>
      </c>
      <c r="O14" s="22">
        <v>8000000.0</v>
      </c>
      <c r="P14" s="1"/>
      <c r="Q14" s="18"/>
      <c r="R14" s="1"/>
    </row>
    <row r="15">
      <c r="A15" s="1"/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3"/>
      <c r="P15" s="1"/>
      <c r="Q15" s="14"/>
      <c r="R15" s="1"/>
    </row>
    <row r="16">
      <c r="A16" s="1"/>
      <c r="B16" s="13" t="str">
        <f>B6</f>
        <v>Retrofit Doors</v>
      </c>
      <c r="C16" s="15">
        <v>0.04778957149866914</v>
      </c>
      <c r="D16" s="15">
        <v>0.059370531351770485</v>
      </c>
      <c r="E16" s="15">
        <v>0.054397548090604514</v>
      </c>
      <c r="F16" s="15">
        <v>0.07631138931615201</v>
      </c>
      <c r="G16" s="15">
        <v>0.1336005286265375</v>
      </c>
      <c r="H16" s="15">
        <v>0.13971890899483644</v>
      </c>
      <c r="I16" s="15">
        <v>0.12905657632611708</v>
      </c>
      <c r="J16" s="15">
        <v>0.11534449298404043</v>
      </c>
      <c r="K16" s="15">
        <v>0.06931108650804566</v>
      </c>
      <c r="L16" s="15">
        <v>0.056404159494276206</v>
      </c>
      <c r="M16" s="15">
        <v>0.06411674152356067</v>
      </c>
      <c r="N16" s="15">
        <v>0.05457846528538989</v>
      </c>
      <c r="O16" s="23">
        <f>sum(C16:N16)</f>
        <v>1</v>
      </c>
      <c r="P16" s="1"/>
      <c r="Q16" s="14"/>
      <c r="R16" s="1"/>
    </row>
    <row r="17">
      <c r="A17" s="5"/>
      <c r="B17" s="24" t="s">
        <v>21</v>
      </c>
      <c r="C17" s="25">
        <f>C19/'Labor Forecast'!$C$23</f>
        <v>286.737429</v>
      </c>
      <c r="D17" s="25">
        <f>D19/'Labor Forecast'!$C$23</f>
        <v>356.2231881</v>
      </c>
      <c r="E17" s="25">
        <f>E19/'Labor Forecast'!$C$23</f>
        <v>326.3852885</v>
      </c>
      <c r="F17" s="25">
        <f>F19/'Labor Forecast'!$C$23</f>
        <v>457.8683359</v>
      </c>
      <c r="G17" s="25">
        <f>G19/'Labor Forecast'!$C$23</f>
        <v>801.6031718</v>
      </c>
      <c r="H17" s="25">
        <f>H19/'Labor Forecast'!$C$23</f>
        <v>838.313454</v>
      </c>
      <c r="I17" s="25">
        <f>I19/'Labor Forecast'!$C$23</f>
        <v>774.339458</v>
      </c>
      <c r="J17" s="25">
        <f>J19/'Labor Forecast'!$C$23</f>
        <v>692.0669579</v>
      </c>
      <c r="K17" s="25">
        <f>K19/'Labor Forecast'!$C$23</f>
        <v>415.866519</v>
      </c>
      <c r="L17" s="25">
        <f>L19/'Labor Forecast'!$C$23</f>
        <v>338.424957</v>
      </c>
      <c r="M17" s="25">
        <f>M19/'Labor Forecast'!$C$23</f>
        <v>384.7004491</v>
      </c>
      <c r="N17" s="25">
        <f>N19/'Labor Forecast'!$C$23</f>
        <v>327.4707917</v>
      </c>
      <c r="O17" s="25">
        <f>O19/'Labor Forecast'!$C$23</f>
        <v>6000</v>
      </c>
      <c r="P17" s="5"/>
      <c r="Q17" s="26"/>
      <c r="R17" s="5"/>
      <c r="S17" s="27"/>
      <c r="T17" s="27"/>
      <c r="U17" s="27"/>
      <c r="V17" s="27"/>
      <c r="W17" s="27"/>
      <c r="X17" s="27"/>
    </row>
    <row r="18">
      <c r="A18" s="1"/>
      <c r="B18" s="28" t="s">
        <v>20</v>
      </c>
      <c r="C18" s="29">
        <f>'Labor Forecast'!C37</f>
        <v>18.86430454</v>
      </c>
      <c r="D18" s="29">
        <f>'Labor Forecast'!D37</f>
        <v>23.43573606</v>
      </c>
      <c r="E18" s="29">
        <f>'Labor Forecast'!E37</f>
        <v>21.47271635</v>
      </c>
      <c r="F18" s="29">
        <f>'Labor Forecast'!F37</f>
        <v>30.12291684</v>
      </c>
      <c r="G18" s="29">
        <f>'Labor Forecast'!G37</f>
        <v>52.73705077</v>
      </c>
      <c r="H18" s="29">
        <f>'Labor Forecast'!H37</f>
        <v>55.15220092</v>
      </c>
      <c r="I18" s="29">
        <f>'Labor Forecast'!I37</f>
        <v>50.94338539</v>
      </c>
      <c r="J18" s="29">
        <f>'Labor Forecast'!J37</f>
        <v>45.53072091</v>
      </c>
      <c r="K18" s="29">
        <f>'Labor Forecast'!K37</f>
        <v>27.35963941</v>
      </c>
      <c r="L18" s="29">
        <f>'Labor Forecast'!L37</f>
        <v>22.2647998</v>
      </c>
      <c r="M18" s="29">
        <f>'Labor Forecast'!M37</f>
        <v>25.30924008</v>
      </c>
      <c r="N18" s="29">
        <f>'Labor Forecast'!N37</f>
        <v>21.54413103</v>
      </c>
      <c r="O18" s="30"/>
      <c r="P18" s="1"/>
      <c r="Q18" s="18"/>
      <c r="R18" s="1"/>
    </row>
    <row r="19">
      <c r="A19" s="1"/>
      <c r="B19" s="28" t="s">
        <v>18</v>
      </c>
      <c r="C19" s="31">
        <f t="shared" ref="C19:N19" si="3">C16*$O$19</f>
        <v>1003581.001</v>
      </c>
      <c r="D19" s="31">
        <f t="shared" si="3"/>
        <v>1246781.158</v>
      </c>
      <c r="E19" s="31">
        <f t="shared" si="3"/>
        <v>1142348.51</v>
      </c>
      <c r="F19" s="31">
        <f t="shared" si="3"/>
        <v>1602539.176</v>
      </c>
      <c r="G19" s="31">
        <f t="shared" si="3"/>
        <v>2805611.101</v>
      </c>
      <c r="H19" s="31">
        <f t="shared" si="3"/>
        <v>2934097.089</v>
      </c>
      <c r="I19" s="31">
        <f t="shared" si="3"/>
        <v>2710188.103</v>
      </c>
      <c r="J19" s="31">
        <f t="shared" si="3"/>
        <v>2422234.353</v>
      </c>
      <c r="K19" s="31">
        <f t="shared" si="3"/>
        <v>1455532.817</v>
      </c>
      <c r="L19" s="31">
        <f t="shared" si="3"/>
        <v>1184487.349</v>
      </c>
      <c r="M19" s="31">
        <f t="shared" si="3"/>
        <v>1346451.572</v>
      </c>
      <c r="N19" s="31">
        <f t="shared" si="3"/>
        <v>1146147.771</v>
      </c>
      <c r="O19" s="22">
        <v>2.1E7</v>
      </c>
      <c r="P19" s="1"/>
      <c r="Q19" s="14"/>
      <c r="R19" s="1"/>
    </row>
    <row r="20">
      <c r="A20" s="1"/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2"/>
      <c r="P20" s="1"/>
      <c r="Q20" s="14"/>
      <c r="R20" s="1"/>
    </row>
    <row r="21">
      <c r="A21" s="1"/>
      <c r="B21" s="13" t="str">
        <f>B7</f>
        <v>Storage and Flooring</v>
      </c>
      <c r="C21" s="33">
        <v>0.0833333</v>
      </c>
      <c r="D21" s="33">
        <v>0.0833333</v>
      </c>
      <c r="E21" s="33">
        <v>0.0833333</v>
      </c>
      <c r="F21" s="33">
        <v>0.0833333</v>
      </c>
      <c r="G21" s="33">
        <v>0.0833333</v>
      </c>
      <c r="H21" s="33">
        <v>0.0833333</v>
      </c>
      <c r="I21" s="33">
        <v>0.0833333</v>
      </c>
      <c r="J21" s="33">
        <v>0.0833333</v>
      </c>
      <c r="K21" s="33">
        <v>0.0833333</v>
      </c>
      <c r="L21" s="33">
        <v>0.0833333</v>
      </c>
      <c r="M21" s="33">
        <v>0.0833333</v>
      </c>
      <c r="N21" s="33">
        <v>0.0833333</v>
      </c>
      <c r="O21" s="3">
        <f t="shared" ref="O21:O22" si="4">sum(C21:N21)</f>
        <v>0.9999996</v>
      </c>
      <c r="P21" s="1"/>
      <c r="Q21" s="18"/>
      <c r="R21" s="1"/>
    </row>
    <row r="22">
      <c r="A22" s="1"/>
      <c r="B22" s="34" t="s">
        <v>21</v>
      </c>
      <c r="C22" s="35">
        <f>'Labor Forecast'!C54</f>
        <v>777.594991</v>
      </c>
      <c r="D22" s="35">
        <f>'Labor Forecast'!D54</f>
        <v>777.594991</v>
      </c>
      <c r="E22" s="35">
        <f>'Labor Forecast'!E54</f>
        <v>777.594991</v>
      </c>
      <c r="F22" s="35">
        <f>'Labor Forecast'!F54</f>
        <v>777.594991</v>
      </c>
      <c r="G22" s="35">
        <f>'Labor Forecast'!G54</f>
        <v>777.594991</v>
      </c>
      <c r="H22" s="35">
        <f>'Labor Forecast'!H54</f>
        <v>777.594991</v>
      </c>
      <c r="I22" s="35">
        <f>'Labor Forecast'!I54</f>
        <v>777.594991</v>
      </c>
      <c r="J22" s="35">
        <f>'Labor Forecast'!J54</f>
        <v>777.594991</v>
      </c>
      <c r="K22" s="35">
        <f>'Labor Forecast'!K54</f>
        <v>777.594991</v>
      </c>
      <c r="L22" s="35">
        <f>'Labor Forecast'!L54</f>
        <v>777.594991</v>
      </c>
      <c r="M22" s="35">
        <f>'Labor Forecast'!M54</f>
        <v>777.594991</v>
      </c>
      <c r="N22" s="35">
        <f>'Labor Forecast'!N54</f>
        <v>777.594991</v>
      </c>
      <c r="O22" s="35">
        <f t="shared" si="4"/>
        <v>9331.139893</v>
      </c>
      <c r="P22" s="1"/>
      <c r="Q22" s="12"/>
      <c r="R22" s="1"/>
    </row>
    <row r="23">
      <c r="A23" s="1"/>
      <c r="B23" s="34" t="s">
        <v>20</v>
      </c>
      <c r="C23" s="36">
        <f>'Labor Forecast'!C57</f>
        <v>10.23151304</v>
      </c>
      <c r="D23" s="36">
        <f>'Labor Forecast'!D57</f>
        <v>10.23151304</v>
      </c>
      <c r="E23" s="36">
        <f>'Labor Forecast'!E57</f>
        <v>10.23151304</v>
      </c>
      <c r="F23" s="36">
        <f>'Labor Forecast'!F57</f>
        <v>10.23151304</v>
      </c>
      <c r="G23" s="36">
        <f>'Labor Forecast'!G57</f>
        <v>10.23151304</v>
      </c>
      <c r="H23" s="36">
        <f>'Labor Forecast'!H57</f>
        <v>10.23151304</v>
      </c>
      <c r="I23" s="36">
        <f>'Labor Forecast'!I57</f>
        <v>10.23151304</v>
      </c>
      <c r="J23" s="36">
        <f>'Labor Forecast'!J57</f>
        <v>10.23151304</v>
      </c>
      <c r="K23" s="36">
        <f>'Labor Forecast'!K57</f>
        <v>10.23151304</v>
      </c>
      <c r="L23" s="36">
        <f>'Labor Forecast'!L57</f>
        <v>10.23151304</v>
      </c>
      <c r="M23" s="36">
        <f>'Labor Forecast'!M57</f>
        <v>10.23151304</v>
      </c>
      <c r="N23" s="36">
        <f>'Labor Forecast'!N57</f>
        <v>10.23151304</v>
      </c>
      <c r="O23" s="37"/>
      <c r="P23" s="1"/>
      <c r="Q23" s="14"/>
      <c r="R23" s="1"/>
      <c r="S23" s="38"/>
    </row>
    <row r="24">
      <c r="A24" s="1"/>
      <c r="B24" s="34" t="s">
        <v>22</v>
      </c>
      <c r="C24" s="37">
        <f t="shared" ref="C24:N24" si="5">C21*$O$24</f>
        <v>416666.5</v>
      </c>
      <c r="D24" s="37">
        <f t="shared" si="5"/>
        <v>416666.5</v>
      </c>
      <c r="E24" s="37">
        <f t="shared" si="5"/>
        <v>416666.5</v>
      </c>
      <c r="F24" s="37">
        <f t="shared" si="5"/>
        <v>416666.5</v>
      </c>
      <c r="G24" s="37">
        <f t="shared" si="5"/>
        <v>416666.5</v>
      </c>
      <c r="H24" s="37">
        <f t="shared" si="5"/>
        <v>416666.5</v>
      </c>
      <c r="I24" s="37">
        <f t="shared" si="5"/>
        <v>416666.5</v>
      </c>
      <c r="J24" s="37">
        <f t="shared" si="5"/>
        <v>416666.5</v>
      </c>
      <c r="K24" s="37">
        <f t="shared" si="5"/>
        <v>416666.5</v>
      </c>
      <c r="L24" s="37">
        <f t="shared" si="5"/>
        <v>416666.5</v>
      </c>
      <c r="M24" s="37">
        <f t="shared" si="5"/>
        <v>416666.5</v>
      </c>
      <c r="N24" s="37">
        <f t="shared" si="5"/>
        <v>416666.5</v>
      </c>
      <c r="O24" s="22">
        <v>5000000.0</v>
      </c>
      <c r="P24" s="1"/>
      <c r="Q24" s="14"/>
      <c r="R24" s="1"/>
    </row>
    <row r="25">
      <c r="A25" s="39"/>
      <c r="B25" s="40"/>
      <c r="C25" s="1"/>
      <c r="D25" s="1"/>
      <c r="E25" s="1"/>
      <c r="F25" s="41"/>
      <c r="G25" s="41"/>
      <c r="H25" s="41"/>
      <c r="I25" s="41"/>
      <c r="J25" s="41"/>
      <c r="K25" s="41"/>
      <c r="L25" s="41"/>
      <c r="M25" s="41"/>
      <c r="N25" s="41"/>
      <c r="O25" s="4"/>
      <c r="P25" s="1"/>
      <c r="Q25" s="14"/>
      <c r="R25" s="1"/>
    </row>
    <row r="26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4"/>
      <c r="R26" s="1"/>
    </row>
    <row r="27">
      <c r="A27" s="4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P27" s="42"/>
      <c r="Q27" s="42"/>
    </row>
    <row r="28">
      <c r="A28" s="43"/>
      <c r="B28" s="44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45" t="s">
        <v>24</v>
      </c>
      <c r="P28" s="46"/>
      <c r="Q28" s="42"/>
      <c r="R28" s="47"/>
      <c r="S28" s="48"/>
    </row>
    <row r="29">
      <c r="A29" s="49"/>
      <c r="B29" s="49" t="str">
        <f t="shared" ref="B29:B31" si="6">concatenate(B5," GP%")</f>
        <v>New Const. Doors GP%</v>
      </c>
      <c r="C29" s="33">
        <v>0.48</v>
      </c>
      <c r="D29" s="33">
        <v>0.48</v>
      </c>
      <c r="E29" s="33">
        <v>0.48</v>
      </c>
      <c r="F29" s="33">
        <v>0.48</v>
      </c>
      <c r="G29" s="33">
        <v>0.48</v>
      </c>
      <c r="H29" s="33">
        <v>0.48</v>
      </c>
      <c r="I29" s="33">
        <v>0.48</v>
      </c>
      <c r="J29" s="33">
        <v>0.48</v>
      </c>
      <c r="K29" s="33">
        <v>0.48</v>
      </c>
      <c r="L29" s="33">
        <v>0.48</v>
      </c>
      <c r="M29" s="33">
        <v>0.48</v>
      </c>
      <c r="N29" s="33">
        <v>0.48</v>
      </c>
      <c r="O29" s="23"/>
      <c r="P29" s="46"/>
      <c r="Q29" s="42"/>
      <c r="R29" s="42"/>
    </row>
    <row r="30">
      <c r="A30" s="49"/>
      <c r="B30" s="49" t="str">
        <f t="shared" si="6"/>
        <v>Retrofit Doors GP%</v>
      </c>
      <c r="C30" s="33">
        <v>0.4</v>
      </c>
      <c r="D30" s="33">
        <v>0.4</v>
      </c>
      <c r="E30" s="33">
        <v>0.4</v>
      </c>
      <c r="F30" s="33">
        <v>0.4</v>
      </c>
      <c r="G30" s="33">
        <v>0.4</v>
      </c>
      <c r="H30" s="33">
        <v>0.4</v>
      </c>
      <c r="I30" s="33">
        <v>0.4</v>
      </c>
      <c r="J30" s="33">
        <v>0.4</v>
      </c>
      <c r="K30" s="33">
        <v>0.4</v>
      </c>
      <c r="L30" s="33">
        <v>0.4</v>
      </c>
      <c r="M30" s="33">
        <v>0.4</v>
      </c>
      <c r="N30" s="33">
        <v>0.4</v>
      </c>
      <c r="O30" s="23"/>
      <c r="P30" s="46"/>
      <c r="Q30" s="42"/>
      <c r="R30" s="42"/>
    </row>
    <row r="31">
      <c r="A31" s="49"/>
      <c r="B31" s="49" t="str">
        <f t="shared" si="6"/>
        <v>Storage and Flooring GP%</v>
      </c>
      <c r="C31" s="33">
        <v>0.6</v>
      </c>
      <c r="D31" s="33">
        <v>0.6</v>
      </c>
      <c r="E31" s="33">
        <v>0.6</v>
      </c>
      <c r="F31" s="33">
        <v>0.6</v>
      </c>
      <c r="G31" s="33">
        <v>0.6</v>
      </c>
      <c r="H31" s="33">
        <v>0.6</v>
      </c>
      <c r="I31" s="33">
        <v>0.6</v>
      </c>
      <c r="J31" s="33">
        <v>0.6</v>
      </c>
      <c r="K31" s="33">
        <v>0.6</v>
      </c>
      <c r="L31" s="33">
        <v>0.6</v>
      </c>
      <c r="M31" s="33">
        <v>0.6</v>
      </c>
      <c r="N31" s="33">
        <v>0.6</v>
      </c>
      <c r="O31" s="23"/>
      <c r="P31" s="46"/>
      <c r="Q31" s="42"/>
      <c r="R31" s="42"/>
    </row>
    <row r="32">
      <c r="A32" s="49"/>
      <c r="B32" s="4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46"/>
      <c r="Q32" s="42"/>
      <c r="R32" s="42"/>
    </row>
    <row r="33">
      <c r="A33" s="49"/>
      <c r="B33" s="49" t="str">
        <f t="shared" ref="B33:B35" si="8">concatenate(B5," GP $")</f>
        <v>New Const. Doors GP $</v>
      </c>
      <c r="C33" s="50">
        <f t="shared" ref="C33:N33" si="7">C29*C14</f>
        <v>243171.2477</v>
      </c>
      <c r="D33" s="51">
        <f t="shared" si="7"/>
        <v>208489.2105</v>
      </c>
      <c r="E33" s="51">
        <f t="shared" si="7"/>
        <v>244489.7991</v>
      </c>
      <c r="F33" s="51">
        <f t="shared" si="7"/>
        <v>292959.433</v>
      </c>
      <c r="G33" s="51">
        <f t="shared" si="7"/>
        <v>380030.4526</v>
      </c>
      <c r="H33" s="51">
        <f t="shared" si="7"/>
        <v>479981.4968</v>
      </c>
      <c r="I33" s="51">
        <f t="shared" si="7"/>
        <v>528978.6413</v>
      </c>
      <c r="J33" s="51">
        <f t="shared" si="7"/>
        <v>459594.0506</v>
      </c>
      <c r="K33" s="51">
        <f t="shared" si="7"/>
        <v>312266.4209</v>
      </c>
      <c r="L33" s="51">
        <f t="shared" si="7"/>
        <v>256769.9039</v>
      </c>
      <c r="M33" s="51">
        <f t="shared" si="7"/>
        <v>189419.2002</v>
      </c>
      <c r="N33" s="51">
        <f t="shared" si="7"/>
        <v>243850.1432</v>
      </c>
      <c r="O33" s="51">
        <f t="shared" ref="O33:O35" si="10">sum(C33:N33)</f>
        <v>3840000</v>
      </c>
      <c r="P33" s="46"/>
      <c r="Q33" s="42"/>
      <c r="R33" s="42"/>
    </row>
    <row r="34">
      <c r="A34" s="49"/>
      <c r="B34" s="49" t="str">
        <f t="shared" si="8"/>
        <v>Retrofit Doors GP $</v>
      </c>
      <c r="C34" s="50">
        <f t="shared" ref="C34:N34" si="9">C30*C19</f>
        <v>401432.4006</v>
      </c>
      <c r="D34" s="51">
        <f t="shared" si="9"/>
        <v>498712.4634</v>
      </c>
      <c r="E34" s="51">
        <f t="shared" si="9"/>
        <v>456939.404</v>
      </c>
      <c r="F34" s="51">
        <f t="shared" si="9"/>
        <v>641015.6703</v>
      </c>
      <c r="G34" s="51">
        <f t="shared" si="9"/>
        <v>1122244.44</v>
      </c>
      <c r="H34" s="51">
        <f t="shared" si="9"/>
        <v>1173638.836</v>
      </c>
      <c r="I34" s="51">
        <f t="shared" si="9"/>
        <v>1084075.241</v>
      </c>
      <c r="J34" s="51">
        <f t="shared" si="9"/>
        <v>968893.7411</v>
      </c>
      <c r="K34" s="51">
        <f t="shared" si="9"/>
        <v>582213.1267</v>
      </c>
      <c r="L34" s="51">
        <f t="shared" si="9"/>
        <v>473794.9398</v>
      </c>
      <c r="M34" s="51">
        <f t="shared" si="9"/>
        <v>538580.6288</v>
      </c>
      <c r="N34" s="51">
        <f t="shared" si="9"/>
        <v>458459.1084</v>
      </c>
      <c r="O34" s="51">
        <f t="shared" si="10"/>
        <v>8400000</v>
      </c>
      <c r="P34" s="46"/>
      <c r="Q34" s="42"/>
      <c r="R34" s="42"/>
    </row>
    <row r="35">
      <c r="A35" s="49"/>
      <c r="B35" s="49" t="str">
        <f t="shared" si="8"/>
        <v>Storage and Flooring GP $</v>
      </c>
      <c r="C35" s="50">
        <f t="shared" ref="C35:N35" si="11">C31*C24</f>
        <v>249999.9</v>
      </c>
      <c r="D35" s="51">
        <f t="shared" si="11"/>
        <v>249999.9</v>
      </c>
      <c r="E35" s="51">
        <f t="shared" si="11"/>
        <v>249999.9</v>
      </c>
      <c r="F35" s="51">
        <f t="shared" si="11"/>
        <v>249999.9</v>
      </c>
      <c r="G35" s="51">
        <f t="shared" si="11"/>
        <v>249999.9</v>
      </c>
      <c r="H35" s="51">
        <f t="shared" si="11"/>
        <v>249999.9</v>
      </c>
      <c r="I35" s="51">
        <f t="shared" si="11"/>
        <v>249999.9</v>
      </c>
      <c r="J35" s="51">
        <f t="shared" si="11"/>
        <v>249999.9</v>
      </c>
      <c r="K35" s="51">
        <f t="shared" si="11"/>
        <v>249999.9</v>
      </c>
      <c r="L35" s="51">
        <f t="shared" si="11"/>
        <v>249999.9</v>
      </c>
      <c r="M35" s="51">
        <f t="shared" si="11"/>
        <v>249999.9</v>
      </c>
      <c r="N35" s="51">
        <f t="shared" si="11"/>
        <v>249999.9</v>
      </c>
      <c r="O35" s="51">
        <f t="shared" si="10"/>
        <v>2999998.8</v>
      </c>
      <c r="P35" s="46"/>
      <c r="Q35" s="42"/>
      <c r="R35" s="42"/>
    </row>
    <row r="36">
      <c r="A36" s="49"/>
      <c r="B36" s="49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46"/>
      <c r="Q36" s="42"/>
      <c r="R36" s="42"/>
    </row>
    <row r="37">
      <c r="A37" s="49"/>
      <c r="B37" s="49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46"/>
      <c r="Q37" s="42"/>
      <c r="R37" s="42"/>
    </row>
    <row r="38">
      <c r="A38" s="49"/>
      <c r="B38" s="49" t="s">
        <v>25</v>
      </c>
      <c r="C38" s="51">
        <f t="shared" ref="C38:O38" si="12">sum(C33:C35)</f>
        <v>894603.5483</v>
      </c>
      <c r="D38" s="51">
        <f t="shared" si="12"/>
        <v>957201.5739</v>
      </c>
      <c r="E38" s="51">
        <f t="shared" si="12"/>
        <v>951429.103</v>
      </c>
      <c r="F38" s="51">
        <f t="shared" si="12"/>
        <v>1183975.003</v>
      </c>
      <c r="G38" s="51">
        <f t="shared" si="12"/>
        <v>1752274.793</v>
      </c>
      <c r="H38" s="51">
        <f t="shared" si="12"/>
        <v>1903620.232</v>
      </c>
      <c r="I38" s="51">
        <f t="shared" si="12"/>
        <v>1863053.782</v>
      </c>
      <c r="J38" s="51">
        <f t="shared" si="12"/>
        <v>1678487.692</v>
      </c>
      <c r="K38" s="51">
        <f t="shared" si="12"/>
        <v>1144479.448</v>
      </c>
      <c r="L38" s="51">
        <f t="shared" si="12"/>
        <v>980564.7437</v>
      </c>
      <c r="M38" s="51">
        <f t="shared" si="12"/>
        <v>977999.729</v>
      </c>
      <c r="N38" s="51">
        <f t="shared" si="12"/>
        <v>952309.1516</v>
      </c>
      <c r="O38" s="51">
        <f t="shared" si="12"/>
        <v>15239998.8</v>
      </c>
      <c r="P38" s="46"/>
      <c r="Q38" s="42"/>
      <c r="R38" s="42"/>
    </row>
    <row r="39">
      <c r="A39" s="49"/>
      <c r="B39" s="49" t="s">
        <v>26</v>
      </c>
      <c r="C39" s="23">
        <f t="shared" ref="C39:O39" si="13">C38/C9</f>
        <v>0.4642818937</v>
      </c>
      <c r="D39" s="23">
        <f t="shared" si="13"/>
        <v>0.4562882504</v>
      </c>
      <c r="E39" s="23">
        <f t="shared" si="13"/>
        <v>0.4599900764</v>
      </c>
      <c r="F39" s="23">
        <f t="shared" si="13"/>
        <v>0.4502597342</v>
      </c>
      <c r="G39" s="23">
        <f t="shared" si="13"/>
        <v>0.4365399669</v>
      </c>
      <c r="H39" s="23">
        <f t="shared" si="13"/>
        <v>0.437540919</v>
      </c>
      <c r="I39" s="23">
        <f t="shared" si="13"/>
        <v>0.4405534945</v>
      </c>
      <c r="J39" s="23">
        <f t="shared" si="13"/>
        <v>0.4421274878</v>
      </c>
      <c r="K39" s="23">
        <f t="shared" si="13"/>
        <v>0.4536626576</v>
      </c>
      <c r="L39" s="23">
        <f t="shared" si="13"/>
        <v>0.4590463024</v>
      </c>
      <c r="M39" s="23">
        <f t="shared" si="13"/>
        <v>0.4532515928</v>
      </c>
      <c r="N39" s="23">
        <f t="shared" si="13"/>
        <v>0.4598671388</v>
      </c>
      <c r="O39" s="23">
        <f t="shared" si="13"/>
        <v>0.4482352588</v>
      </c>
      <c r="P39" s="46"/>
      <c r="Q39" s="42"/>
      <c r="R39" s="42"/>
    </row>
    <row r="40">
      <c r="A40" s="49"/>
      <c r="B40" s="49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3"/>
      <c r="O40" s="52"/>
      <c r="P40" s="46"/>
      <c r="Q40" s="42"/>
      <c r="R40" s="42"/>
    </row>
    <row r="41">
      <c r="A41" s="49"/>
      <c r="B41" s="4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52"/>
      <c r="P41" s="46"/>
      <c r="Q41" s="42"/>
      <c r="R41" s="42"/>
    </row>
    <row r="42">
      <c r="A42" s="53" t="s">
        <v>27</v>
      </c>
      <c r="C42" s="4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R42" s="42"/>
    </row>
    <row r="43">
      <c r="A43" s="53" t="s">
        <v>28</v>
      </c>
      <c r="C43" s="4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R43" s="42"/>
    </row>
    <row r="44">
      <c r="A44" s="1"/>
      <c r="B44" s="53" t="s">
        <v>29</v>
      </c>
      <c r="C44" s="54">
        <v>116760.0</v>
      </c>
      <c r="D44" s="55">
        <v>133440.0</v>
      </c>
      <c r="E44" s="55">
        <v>150120.0</v>
      </c>
      <c r="F44" s="55">
        <v>150120.0</v>
      </c>
      <c r="G44" s="55">
        <v>150120.0</v>
      </c>
      <c r="H44" s="55">
        <v>133440.0</v>
      </c>
      <c r="I44" s="55">
        <v>133440.0</v>
      </c>
      <c r="J44" s="55">
        <v>150120.0</v>
      </c>
      <c r="K44" s="55">
        <v>150120.0</v>
      </c>
      <c r="L44" s="55">
        <v>133440.0</v>
      </c>
      <c r="M44" s="55">
        <v>133440.0</v>
      </c>
      <c r="N44" s="55">
        <v>133440.0</v>
      </c>
      <c r="O44" s="56">
        <f t="shared" ref="O44:O45" si="14">sum(C44:N44)</f>
        <v>1668000</v>
      </c>
      <c r="P44" s="3">
        <f>O44/O9</f>
        <v>0.04905882353</v>
      </c>
      <c r="R44" s="42"/>
    </row>
    <row r="45">
      <c r="A45" s="1"/>
      <c r="B45" s="57" t="s">
        <v>30</v>
      </c>
      <c r="C45" s="58">
        <f>'Labor Forecast'!C19+'Labor Forecast'!C39+'Labor Forecast'!C59</f>
        <v>125477.5635</v>
      </c>
      <c r="D45" s="58">
        <f>'Labor Forecast'!D19+'Labor Forecast'!D39+'Labor Forecast'!D59</f>
        <v>142540.4709</v>
      </c>
      <c r="E45" s="58">
        <f>'Labor Forecast'!E19+'Labor Forecast'!E39+'Labor Forecast'!E59</f>
        <v>136575.9691</v>
      </c>
      <c r="F45" s="58">
        <f>'Labor Forecast'!F19+'Labor Forecast'!F39+'Labor Forecast'!F59</f>
        <v>176227.7064</v>
      </c>
      <c r="G45" s="58">
        <f>'Labor Forecast'!G19+'Labor Forecast'!G39+'Labor Forecast'!G59</f>
        <v>277329.9564</v>
      </c>
      <c r="H45" s="58">
        <f>'Labor Forecast'!H19+'Labor Forecast'!H39+'Labor Forecast'!H59</f>
        <v>293979.0014</v>
      </c>
      <c r="I45" s="58">
        <f>'Labor Forecast'!I19+'Labor Forecast'!I39+'Labor Forecast'!I59</f>
        <v>279371.1658</v>
      </c>
      <c r="J45" s="58">
        <f>'Labor Forecast'!J19+'Labor Forecast'!J39+'Labor Forecast'!J59</f>
        <v>252038.9845</v>
      </c>
      <c r="K45" s="58">
        <f>'Labor Forecast'!K19+'Labor Forecast'!K39+'Labor Forecast'!K59</f>
        <v>165806.7826</v>
      </c>
      <c r="L45" s="58">
        <f>'Labor Forecast'!L19+'Labor Forecast'!L39+'Labor Forecast'!L59</f>
        <v>140712.9904</v>
      </c>
      <c r="M45" s="58">
        <f>'Labor Forecast'!M19+'Labor Forecast'!M39+'Labor Forecast'!M59</f>
        <v>149219.8702</v>
      </c>
      <c r="N45" s="58">
        <f>'Labor Forecast'!N19+'Labor Forecast'!N39+'Labor Forecast'!N59</f>
        <v>136836.2085</v>
      </c>
      <c r="O45" s="59">
        <f t="shared" si="14"/>
        <v>2276116.67</v>
      </c>
      <c r="P45" s="52"/>
      <c r="R45" s="42"/>
    </row>
    <row r="46">
      <c r="A46" s="1"/>
      <c r="B46" s="44"/>
      <c r="C46" s="44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R46" s="42"/>
    </row>
    <row r="47">
      <c r="A47" s="49" t="s">
        <v>31</v>
      </c>
      <c r="B47" s="1"/>
      <c r="C47" s="4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>
      <c r="A48" s="1"/>
      <c r="B48" s="9" t="s">
        <v>32</v>
      </c>
      <c r="C48" s="9">
        <v>100000.0</v>
      </c>
      <c r="D48" s="9">
        <v>100000.0</v>
      </c>
      <c r="E48" s="9">
        <v>100000.0</v>
      </c>
      <c r="F48" s="9">
        <v>100000.0</v>
      </c>
      <c r="G48" s="9">
        <v>100000.0</v>
      </c>
      <c r="H48" s="9">
        <v>100000.0</v>
      </c>
      <c r="I48" s="9">
        <v>100000.0</v>
      </c>
      <c r="J48" s="9">
        <v>100000.0</v>
      </c>
      <c r="K48" s="9">
        <v>100000.0</v>
      </c>
      <c r="L48" s="9">
        <v>100000.0</v>
      </c>
      <c r="M48" s="9">
        <v>100000.0</v>
      </c>
      <c r="N48" s="9">
        <v>100000.0</v>
      </c>
      <c r="O48" s="52">
        <f t="shared" ref="O48:O69" si="15">sum(C48:N48)</f>
        <v>1200000</v>
      </c>
      <c r="P48" s="52"/>
    </row>
    <row r="49">
      <c r="A49" s="1"/>
      <c r="B49" s="9" t="s">
        <v>33</v>
      </c>
      <c r="C49" s="9">
        <v>120000.0</v>
      </c>
      <c r="D49" s="9">
        <v>120000.0</v>
      </c>
      <c r="E49" s="9">
        <v>120000.0</v>
      </c>
      <c r="F49" s="9">
        <v>120000.0</v>
      </c>
      <c r="G49" s="9">
        <v>120000.0</v>
      </c>
      <c r="H49" s="9">
        <v>120000.0</v>
      </c>
      <c r="I49" s="9">
        <v>120000.0</v>
      </c>
      <c r="J49" s="9">
        <v>120000.0</v>
      </c>
      <c r="K49" s="9">
        <v>120000.0</v>
      </c>
      <c r="L49" s="9">
        <v>120000.0</v>
      </c>
      <c r="M49" s="9">
        <v>120000.0</v>
      </c>
      <c r="N49" s="9">
        <v>120000.0</v>
      </c>
      <c r="O49" s="52">
        <f t="shared" si="15"/>
        <v>1440000</v>
      </c>
      <c r="P49" s="52"/>
    </row>
    <row r="50">
      <c r="A50" s="1"/>
      <c r="B50" s="60"/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52">
        <f t="shared" si="15"/>
        <v>0</v>
      </c>
      <c r="P50" s="52"/>
    </row>
    <row r="51">
      <c r="A51" s="1"/>
      <c r="B51" s="60"/>
      <c r="C51" s="61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52">
        <f t="shared" si="15"/>
        <v>0</v>
      </c>
      <c r="P51" s="52"/>
    </row>
    <row r="52">
      <c r="A52" s="1"/>
      <c r="B52" s="60"/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52">
        <f t="shared" si="15"/>
        <v>0</v>
      </c>
      <c r="P52" s="52"/>
    </row>
    <row r="53">
      <c r="A53" s="1"/>
      <c r="B53" s="60"/>
      <c r="C53" s="61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52">
        <f t="shared" si="15"/>
        <v>0</v>
      </c>
      <c r="P53" s="52"/>
    </row>
    <row r="54">
      <c r="A54" s="1"/>
      <c r="B54" s="60"/>
      <c r="C54" s="61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52">
        <f t="shared" si="15"/>
        <v>0</v>
      </c>
      <c r="P54" s="52"/>
    </row>
    <row r="55">
      <c r="A55" s="1"/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52">
        <f t="shared" si="15"/>
        <v>0</v>
      </c>
      <c r="P55" s="52"/>
    </row>
    <row r="56">
      <c r="A56" s="1"/>
      <c r="B56" s="60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52">
        <f t="shared" si="15"/>
        <v>0</v>
      </c>
      <c r="P56" s="52"/>
    </row>
    <row r="57">
      <c r="A57" s="1"/>
      <c r="B57" s="60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52">
        <f t="shared" si="15"/>
        <v>0</v>
      </c>
      <c r="P57" s="52"/>
    </row>
    <row r="58">
      <c r="A58" s="1"/>
      <c r="B58" s="60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52">
        <f t="shared" si="15"/>
        <v>0</v>
      </c>
      <c r="P58" s="52"/>
    </row>
    <row r="59">
      <c r="A59" s="1"/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52">
        <f t="shared" si="15"/>
        <v>0</v>
      </c>
      <c r="P59" s="52"/>
    </row>
    <row r="60">
      <c r="A60" s="1"/>
      <c r="B60" s="60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52">
        <f t="shared" si="15"/>
        <v>0</v>
      </c>
      <c r="P60" s="52"/>
    </row>
    <row r="61">
      <c r="A61" s="1"/>
      <c r="B61" s="60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52">
        <f t="shared" si="15"/>
        <v>0</v>
      </c>
      <c r="P61" s="52"/>
    </row>
    <row r="62">
      <c r="A62" s="1"/>
      <c r="B62" s="60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52">
        <f t="shared" si="15"/>
        <v>0</v>
      </c>
      <c r="P62" s="52"/>
    </row>
    <row r="63">
      <c r="A63" s="1"/>
      <c r="B63" s="60"/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52">
        <f t="shared" si="15"/>
        <v>0</v>
      </c>
      <c r="P63" s="52"/>
    </row>
    <row r="64">
      <c r="A64" s="1"/>
      <c r="B64" s="60"/>
      <c r="C64" s="61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52">
        <f t="shared" si="15"/>
        <v>0</v>
      </c>
      <c r="P64" s="52"/>
    </row>
    <row r="65">
      <c r="A65" s="1"/>
      <c r="B65" s="60"/>
      <c r="C65" s="61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52">
        <f t="shared" si="15"/>
        <v>0</v>
      </c>
      <c r="P65" s="52"/>
    </row>
    <row r="66">
      <c r="A66" s="1"/>
      <c r="B66" s="60"/>
      <c r="C66" s="61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52">
        <f t="shared" si="15"/>
        <v>0</v>
      </c>
      <c r="P66" s="52"/>
    </row>
    <row r="67">
      <c r="A67" s="1"/>
      <c r="B67" s="60"/>
      <c r="C67" s="61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52">
        <f t="shared" si="15"/>
        <v>0</v>
      </c>
      <c r="P67" s="52"/>
    </row>
    <row r="68">
      <c r="A68" s="1"/>
      <c r="B68" s="60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52">
        <f t="shared" si="15"/>
        <v>0</v>
      </c>
      <c r="P68" s="52"/>
    </row>
    <row r="69">
      <c r="A69" s="1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52">
        <f t="shared" si="15"/>
        <v>0</v>
      </c>
      <c r="P69" s="52"/>
    </row>
    <row r="70">
      <c r="A70" s="1"/>
      <c r="B70" s="1"/>
      <c r="C70" s="44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</row>
    <row r="71">
      <c r="A71" s="43" t="s">
        <v>34</v>
      </c>
      <c r="C71" s="47">
        <f t="shared" ref="C71:N71" si="16">sum(C48:C69)+C44</f>
        <v>336760</v>
      </c>
      <c r="D71" s="47">
        <f t="shared" si="16"/>
        <v>353440</v>
      </c>
      <c r="E71" s="47">
        <f t="shared" si="16"/>
        <v>370120</v>
      </c>
      <c r="F71" s="47">
        <f t="shared" si="16"/>
        <v>370120</v>
      </c>
      <c r="G71" s="47">
        <f t="shared" si="16"/>
        <v>370120</v>
      </c>
      <c r="H71" s="47">
        <f t="shared" si="16"/>
        <v>353440</v>
      </c>
      <c r="I71" s="47">
        <f t="shared" si="16"/>
        <v>353440</v>
      </c>
      <c r="J71" s="47">
        <f t="shared" si="16"/>
        <v>370120</v>
      </c>
      <c r="K71" s="47">
        <f t="shared" si="16"/>
        <v>370120</v>
      </c>
      <c r="L71" s="47">
        <f t="shared" si="16"/>
        <v>353440</v>
      </c>
      <c r="M71" s="47">
        <f t="shared" si="16"/>
        <v>353440</v>
      </c>
      <c r="N71" s="47">
        <f t="shared" si="16"/>
        <v>353440</v>
      </c>
      <c r="O71" s="47">
        <f>sum(C71:N71)</f>
        <v>4308000</v>
      </c>
      <c r="P71" s="3">
        <f>O71/O9</f>
        <v>0.1267058824</v>
      </c>
      <c r="Q71" s="4" t="s">
        <v>35</v>
      </c>
    </row>
    <row r="72">
      <c r="A72" s="49"/>
      <c r="B72" s="1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>
      <c r="A73" s="1"/>
      <c r="B73" s="1"/>
      <c r="C73" s="49" t="s">
        <v>1</v>
      </c>
      <c r="D73" s="49" t="s">
        <v>2</v>
      </c>
      <c r="E73" s="49" t="s">
        <v>3</v>
      </c>
      <c r="F73" s="49" t="s">
        <v>4</v>
      </c>
      <c r="G73" s="49" t="s">
        <v>5</v>
      </c>
      <c r="H73" s="49" t="s">
        <v>6</v>
      </c>
      <c r="I73" s="49" t="s">
        <v>7</v>
      </c>
      <c r="J73" s="49" t="s">
        <v>8</v>
      </c>
      <c r="K73" s="49" t="s">
        <v>9</v>
      </c>
      <c r="L73" s="49" t="s">
        <v>10</v>
      </c>
      <c r="M73" s="49" t="s">
        <v>11</v>
      </c>
      <c r="N73" s="49" t="s">
        <v>12</v>
      </c>
      <c r="O73" s="1"/>
      <c r="P73" s="1"/>
      <c r="Q73" s="1"/>
      <c r="R73" s="1"/>
    </row>
    <row r="74">
      <c r="A74" s="49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R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>
      <c r="A76" s="4" t="s">
        <v>36</v>
      </c>
      <c r="B76" s="1"/>
      <c r="C76" s="41">
        <f t="shared" ref="C76:N76" si="17">C38-C71</f>
        <v>557843.5483</v>
      </c>
      <c r="D76" s="41">
        <f t="shared" si="17"/>
        <v>603761.5739</v>
      </c>
      <c r="E76" s="41">
        <f t="shared" si="17"/>
        <v>581309.103</v>
      </c>
      <c r="F76" s="41">
        <f t="shared" si="17"/>
        <v>813855.0033</v>
      </c>
      <c r="G76" s="41">
        <f t="shared" si="17"/>
        <v>1382154.793</v>
      </c>
      <c r="H76" s="41">
        <f t="shared" si="17"/>
        <v>1550180.232</v>
      </c>
      <c r="I76" s="41">
        <f t="shared" si="17"/>
        <v>1509613.782</v>
      </c>
      <c r="J76" s="41">
        <f t="shared" si="17"/>
        <v>1308367.692</v>
      </c>
      <c r="K76" s="41">
        <f t="shared" si="17"/>
        <v>774359.4476</v>
      </c>
      <c r="L76" s="41">
        <f t="shared" si="17"/>
        <v>627124.7437</v>
      </c>
      <c r="M76" s="41">
        <f t="shared" si="17"/>
        <v>624559.729</v>
      </c>
      <c r="N76" s="41">
        <f t="shared" si="17"/>
        <v>598869.1516</v>
      </c>
      <c r="O76" s="41">
        <f>SUM(C76:N76)</f>
        <v>10931998.8</v>
      </c>
      <c r="P76" s="3">
        <f>O76/O9</f>
        <v>0.3215293765</v>
      </c>
      <c r="Q76" s="23"/>
      <c r="R76" s="1"/>
    </row>
    <row r="77">
      <c r="A77" s="4" t="s">
        <v>37</v>
      </c>
      <c r="B77" s="1"/>
      <c r="C77" s="41">
        <f>C76</f>
        <v>557843.5483</v>
      </c>
      <c r="D77" s="41">
        <f t="shared" ref="D77:N77" si="18">D76+C77</f>
        <v>1161605.122</v>
      </c>
      <c r="E77" s="41">
        <f t="shared" si="18"/>
        <v>1742914.225</v>
      </c>
      <c r="F77" s="41">
        <f t="shared" si="18"/>
        <v>2556769.229</v>
      </c>
      <c r="G77" s="41">
        <f t="shared" si="18"/>
        <v>3938924.022</v>
      </c>
      <c r="H77" s="41">
        <f t="shared" si="18"/>
        <v>5489104.254</v>
      </c>
      <c r="I77" s="41">
        <f t="shared" si="18"/>
        <v>6998718.036</v>
      </c>
      <c r="J77" s="41">
        <f t="shared" si="18"/>
        <v>8307085.728</v>
      </c>
      <c r="K77" s="41">
        <f t="shared" si="18"/>
        <v>9081445.176</v>
      </c>
      <c r="L77" s="41">
        <f t="shared" si="18"/>
        <v>9708569.919</v>
      </c>
      <c r="M77" s="41">
        <f t="shared" si="18"/>
        <v>10333129.65</v>
      </c>
      <c r="N77" s="41">
        <f t="shared" si="18"/>
        <v>10931998.8</v>
      </c>
      <c r="O77" s="1"/>
      <c r="P77" s="1"/>
      <c r="Q77" s="1"/>
      <c r="R77" s="1"/>
    </row>
    <row r="78">
      <c r="A78" s="4" t="s">
        <v>38</v>
      </c>
      <c r="B78" s="1"/>
      <c r="C78" s="1"/>
      <c r="D78" s="1"/>
      <c r="E78" s="1"/>
      <c r="F78" s="1"/>
      <c r="G78" s="1"/>
      <c r="H78" s="1"/>
      <c r="I78" s="1"/>
      <c r="J78" s="4"/>
      <c r="K78" s="4"/>
      <c r="L78" s="4"/>
      <c r="M78" s="4"/>
      <c r="N78" s="4"/>
      <c r="O78" s="1"/>
      <c r="P78" s="1"/>
      <c r="Q78" s="1"/>
      <c r="R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4"/>
      <c r="R79" s="1"/>
    </row>
    <row r="80">
      <c r="A80" s="1"/>
      <c r="B80" s="18"/>
      <c r="C80" s="6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2"/>
      <c r="Q80" s="1"/>
      <c r="R80" s="1"/>
    </row>
    <row r="81">
      <c r="A81" s="1"/>
      <c r="B81" s="18"/>
      <c r="C81" s="4"/>
      <c r="D81" s="4"/>
      <c r="E81" s="1"/>
      <c r="F81" s="1"/>
      <c r="G81" s="1"/>
      <c r="H81" s="1"/>
      <c r="I81" s="1"/>
      <c r="J81" s="1"/>
      <c r="K81" s="1"/>
      <c r="L81" s="1"/>
      <c r="M81" s="4"/>
      <c r="N81" s="1"/>
      <c r="O81" s="1"/>
      <c r="P81" s="1"/>
      <c r="Q81" s="1"/>
      <c r="R81" s="1"/>
    </row>
    <row r="82">
      <c r="A82" s="1"/>
      <c r="B82" s="18"/>
      <c r="C82" s="4"/>
      <c r="D82" s="1"/>
      <c r="E82" s="1"/>
      <c r="F82" s="1"/>
      <c r="G82" s="1"/>
      <c r="H82" s="1"/>
      <c r="I82" s="1"/>
      <c r="J82" s="1"/>
      <c r="K82" s="1"/>
      <c r="L82" s="1"/>
      <c r="M82" s="4"/>
      <c r="N82" s="1"/>
      <c r="O82" s="4"/>
      <c r="P82" s="1"/>
      <c r="Q82" s="1"/>
      <c r="R82" s="1"/>
    </row>
    <row r="83">
      <c r="A83" s="1"/>
      <c r="B83" s="18"/>
      <c r="C83" s="8"/>
      <c r="D83" s="1"/>
      <c r="E83" s="1"/>
      <c r="F83" s="1"/>
      <c r="G83" s="1"/>
      <c r="H83" s="1"/>
      <c r="I83" s="1"/>
      <c r="J83" s="1"/>
      <c r="M83" s="1"/>
      <c r="N83" s="1"/>
      <c r="P83" s="1"/>
      <c r="Q83" s="1"/>
      <c r="R83" s="1"/>
    </row>
    <row r="87">
      <c r="M87" s="64"/>
    </row>
    <row r="88">
      <c r="M88" s="41"/>
    </row>
    <row r="89">
      <c r="M89" s="65"/>
    </row>
    <row r="90">
      <c r="M90" s="65"/>
    </row>
    <row r="91">
      <c r="M91" s="65"/>
    </row>
    <row r="92">
      <c r="M92" s="64"/>
    </row>
    <row r="93">
      <c r="M93" s="64"/>
    </row>
    <row r="94">
      <c r="M94" s="64"/>
    </row>
    <row r="95">
      <c r="M95" s="64"/>
    </row>
    <row r="96">
      <c r="A96" s="1"/>
      <c r="B96" s="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52"/>
    </row>
    <row r="97">
      <c r="A97" s="1"/>
      <c r="B97" s="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>
      <c r="A98" s="49"/>
      <c r="B98" s="1"/>
      <c r="C98" s="52"/>
      <c r="D98" s="52"/>
      <c r="E98" s="52"/>
      <c r="F98" s="52"/>
      <c r="G98" s="12"/>
      <c r="H98" s="52"/>
      <c r="I98" s="52"/>
      <c r="J98" s="52"/>
      <c r="K98" s="52"/>
      <c r="L98" s="52"/>
      <c r="M98" s="52"/>
      <c r="N98" s="52"/>
      <c r="O98" s="52"/>
    </row>
    <row r="99">
      <c r="A99" s="1"/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52"/>
    </row>
    <row r="100">
      <c r="A100" s="1"/>
      <c r="B100" s="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52"/>
    </row>
    <row r="101">
      <c r="A101" s="1"/>
      <c r="B101" s="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52"/>
    </row>
    <row r="102">
      <c r="A102" s="1"/>
      <c r="B102" s="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>
      <c r="A103" s="49"/>
      <c r="B103" s="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>
      <c r="A104" s="1"/>
      <c r="B104" s="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52"/>
    </row>
    <row r="105">
      <c r="A105" s="1"/>
      <c r="B105" s="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52"/>
    </row>
    <row r="106">
      <c r="A106" s="1"/>
      <c r="B106" s="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52"/>
    </row>
    <row r="107">
      <c r="A107" s="1"/>
      <c r="B107" s="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52"/>
    </row>
    <row r="108">
      <c r="A108" s="1"/>
      <c r="B108" s="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52"/>
    </row>
    <row r="109">
      <c r="A109" s="1"/>
      <c r="B109" s="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52"/>
    </row>
    <row r="110">
      <c r="A110" s="1"/>
      <c r="B110" s="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>
      <c r="A111" s="1"/>
      <c r="B111" s="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>
      <c r="A112" s="1"/>
      <c r="B112" s="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52"/>
    </row>
    <row r="113">
      <c r="A113" s="1"/>
      <c r="B113" s="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52"/>
    </row>
    <row r="114">
      <c r="A114" s="1"/>
      <c r="B114" s="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52"/>
    </row>
    <row r="115">
      <c r="A115" s="1"/>
      <c r="B115" s="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>
      <c r="A116" s="49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52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41">
      <c r="M141" s="64"/>
    </row>
    <row r="142">
      <c r="M142" s="64"/>
    </row>
    <row r="143">
      <c r="M143" s="64"/>
    </row>
    <row r="191">
      <c r="A191" s="4">
        <v>2.4</v>
      </c>
      <c r="B191" s="4">
        <v>10000.0</v>
      </c>
    </row>
    <row r="192">
      <c r="A192" s="38">
        <v>2.7</v>
      </c>
      <c r="B192" s="38">
        <v>20000.0</v>
      </c>
    </row>
    <row r="193">
      <c r="A193" s="38">
        <v>2.9</v>
      </c>
      <c r="B193" s="38">
        <v>50000.0</v>
      </c>
    </row>
    <row r="194">
      <c r="A194" s="38">
        <v>3.1</v>
      </c>
      <c r="B194" s="38">
        <v>75000.0</v>
      </c>
    </row>
    <row r="195">
      <c r="A195" s="38">
        <v>3.3</v>
      </c>
      <c r="B195" s="38">
        <v>100000.0</v>
      </c>
    </row>
  </sheetData>
  <mergeCells count="4">
    <mergeCell ref="A42:B42"/>
    <mergeCell ref="A43:B43"/>
    <mergeCell ref="A71:B71"/>
    <mergeCell ref="A116:B116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2.75"/>
  </cols>
  <sheetData>
    <row r="2">
      <c r="B2" s="66" t="str">
        <f>'Revenue Forecast'!B5</f>
        <v>New Const. Doors</v>
      </c>
    </row>
    <row r="3">
      <c r="B3" s="38" t="s">
        <v>39</v>
      </c>
      <c r="C3" s="67">
        <v>820.0</v>
      </c>
    </row>
    <row r="4">
      <c r="B4" s="38" t="s">
        <v>40</v>
      </c>
      <c r="C4" s="68">
        <v>0.72</v>
      </c>
      <c r="P4" s="69" t="str">
        <f>'Revenue Forecast'!P14</f>
        <v/>
      </c>
    </row>
    <row r="5">
      <c r="B5" s="38" t="s">
        <v>41</v>
      </c>
      <c r="C5" s="68">
        <v>0.82</v>
      </c>
    </row>
    <row r="6">
      <c r="B6" s="38" t="s">
        <v>42</v>
      </c>
      <c r="C6" s="67">
        <v>4.0</v>
      </c>
    </row>
    <row r="8">
      <c r="B8" s="38" t="s">
        <v>43</v>
      </c>
      <c r="C8" s="68">
        <v>0.3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>
      <c r="B9" s="38" t="s">
        <v>44</v>
      </c>
      <c r="C9" s="67">
        <v>50.0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>
      <c r="C11" s="38" t="s">
        <v>45</v>
      </c>
      <c r="D11" s="38" t="s">
        <v>2</v>
      </c>
      <c r="E11" s="38" t="s">
        <v>3</v>
      </c>
      <c r="F11" s="38" t="s">
        <v>4</v>
      </c>
      <c r="G11" s="38" t="s">
        <v>5</v>
      </c>
      <c r="H11" s="38" t="s">
        <v>6</v>
      </c>
      <c r="I11" s="38" t="s">
        <v>7</v>
      </c>
      <c r="J11" s="38" t="s">
        <v>8</v>
      </c>
      <c r="K11" s="38" t="s">
        <v>9</v>
      </c>
      <c r="L11" s="38" t="s">
        <v>10</v>
      </c>
      <c r="M11" s="38" t="s">
        <v>11</v>
      </c>
      <c r="N11" s="38" t="s">
        <v>12</v>
      </c>
      <c r="O11" s="38" t="s">
        <v>24</v>
      </c>
    </row>
    <row r="12">
      <c r="B12" s="38" t="str">
        <f>concatenate('Revenue Forecast'!B5, " Revenue")</f>
        <v>New Const. Doors Revenue</v>
      </c>
      <c r="C12" s="70">
        <f>'Revenue Forecast'!C14</f>
        <v>506606.7661</v>
      </c>
      <c r="D12" s="70">
        <f>'Revenue Forecast'!D14</f>
        <v>434352.522</v>
      </c>
      <c r="E12" s="70">
        <f>'Revenue Forecast'!E14</f>
        <v>509353.7481</v>
      </c>
      <c r="F12" s="70">
        <f>'Revenue Forecast'!F14</f>
        <v>610332.1522</v>
      </c>
      <c r="G12" s="70">
        <f>'Revenue Forecast'!G14</f>
        <v>791730.1096</v>
      </c>
      <c r="H12" s="70">
        <f>'Revenue Forecast'!H14</f>
        <v>999961.4516</v>
      </c>
      <c r="I12" s="70">
        <f>'Revenue Forecast'!I14</f>
        <v>1102038.836</v>
      </c>
      <c r="J12" s="70">
        <f>'Revenue Forecast'!J14</f>
        <v>957487.6054</v>
      </c>
      <c r="K12" s="70">
        <f>'Revenue Forecast'!K14</f>
        <v>650555.0436</v>
      </c>
      <c r="L12" s="70">
        <f>'Revenue Forecast'!L14</f>
        <v>534937.2999</v>
      </c>
      <c r="M12" s="70">
        <f>'Revenue Forecast'!M14</f>
        <v>394623.3338</v>
      </c>
      <c r="N12" s="70">
        <f>'Revenue Forecast'!N14</f>
        <v>508021.1316</v>
      </c>
      <c r="O12" s="70">
        <f>'Revenue Forecast'!O14</f>
        <v>8000000</v>
      </c>
    </row>
    <row r="13">
      <c r="B13" s="38" t="s">
        <v>46</v>
      </c>
      <c r="C13" s="27">
        <f>(C12/$C3)</f>
        <v>617.8131294</v>
      </c>
      <c r="D13" s="27">
        <f t="shared" ref="D13:O13" si="1">(D12/$C$3)</f>
        <v>529.6981975</v>
      </c>
      <c r="E13" s="27">
        <f t="shared" si="1"/>
        <v>621.1631074</v>
      </c>
      <c r="F13" s="27">
        <f t="shared" si="1"/>
        <v>744.3075026</v>
      </c>
      <c r="G13" s="27">
        <f t="shared" si="1"/>
        <v>965.5245239</v>
      </c>
      <c r="H13" s="27">
        <f t="shared" si="1"/>
        <v>1219.465185</v>
      </c>
      <c r="I13" s="27">
        <f t="shared" si="1"/>
        <v>1343.9498</v>
      </c>
      <c r="J13" s="27">
        <f t="shared" si="1"/>
        <v>1167.667811</v>
      </c>
      <c r="K13" s="27">
        <f t="shared" si="1"/>
        <v>793.3598093</v>
      </c>
      <c r="L13" s="27">
        <f t="shared" si="1"/>
        <v>652.3625608</v>
      </c>
      <c r="M13" s="27">
        <f t="shared" si="1"/>
        <v>481.247968</v>
      </c>
      <c r="N13" s="27">
        <f t="shared" si="1"/>
        <v>619.5379654</v>
      </c>
      <c r="O13" s="27">
        <f t="shared" si="1"/>
        <v>9756.097561</v>
      </c>
    </row>
    <row r="14">
      <c r="B14" s="38" t="s">
        <v>47</v>
      </c>
      <c r="C14" s="27">
        <f>C13/$C5</f>
        <v>753.4306457</v>
      </c>
      <c r="D14" s="27">
        <f t="shared" ref="D14:O14" si="2">D13/$C$5</f>
        <v>645.9734116</v>
      </c>
      <c r="E14" s="27">
        <f t="shared" si="2"/>
        <v>757.5159847</v>
      </c>
      <c r="F14" s="27">
        <f t="shared" si="2"/>
        <v>907.6920764</v>
      </c>
      <c r="G14" s="27">
        <f t="shared" si="2"/>
        <v>1177.468932</v>
      </c>
      <c r="H14" s="27">
        <f t="shared" si="2"/>
        <v>1487.152665</v>
      </c>
      <c r="I14" s="27">
        <f t="shared" si="2"/>
        <v>1638.963171</v>
      </c>
      <c r="J14" s="27">
        <f t="shared" si="2"/>
        <v>1423.985136</v>
      </c>
      <c r="K14" s="27">
        <f t="shared" si="2"/>
        <v>967.5119625</v>
      </c>
      <c r="L14" s="27">
        <f t="shared" si="2"/>
        <v>795.5640985</v>
      </c>
      <c r="M14" s="27">
        <f t="shared" si="2"/>
        <v>586.8877659</v>
      </c>
      <c r="N14" s="27">
        <f t="shared" si="2"/>
        <v>755.5341041</v>
      </c>
      <c r="O14" s="27">
        <f t="shared" si="2"/>
        <v>11897.67995</v>
      </c>
    </row>
    <row r="15">
      <c r="B15" s="38" t="s">
        <v>48</v>
      </c>
      <c r="C15" s="71">
        <f>C14/$C4</f>
        <v>1046.431452</v>
      </c>
      <c r="D15" s="71">
        <f t="shared" ref="D15:O15" si="3">D14/$C$4</f>
        <v>897.1852939</v>
      </c>
      <c r="E15" s="71">
        <f t="shared" si="3"/>
        <v>1052.105534</v>
      </c>
      <c r="F15" s="71">
        <f t="shared" si="3"/>
        <v>1260.683439</v>
      </c>
      <c r="G15" s="71">
        <f t="shared" si="3"/>
        <v>1635.373516</v>
      </c>
      <c r="H15" s="71">
        <f t="shared" si="3"/>
        <v>2065.489812</v>
      </c>
      <c r="I15" s="71">
        <f t="shared" si="3"/>
        <v>2276.337737</v>
      </c>
      <c r="J15" s="71">
        <f t="shared" si="3"/>
        <v>1977.757133</v>
      </c>
      <c r="K15" s="71">
        <f t="shared" si="3"/>
        <v>1343.766615</v>
      </c>
      <c r="L15" s="71">
        <f t="shared" si="3"/>
        <v>1104.950137</v>
      </c>
      <c r="M15" s="71">
        <f t="shared" si="3"/>
        <v>815.1218971</v>
      </c>
      <c r="N15" s="71">
        <f t="shared" si="3"/>
        <v>1049.352922</v>
      </c>
      <c r="O15" s="71">
        <f t="shared" si="3"/>
        <v>16524.55549</v>
      </c>
    </row>
    <row r="17">
      <c r="B17" s="38" t="s">
        <v>49</v>
      </c>
      <c r="C17" s="72">
        <f t="shared" ref="C17:N17" si="4">C14/$C6/19</f>
        <v>9.913561127</v>
      </c>
      <c r="D17" s="72">
        <f t="shared" si="4"/>
        <v>8.499650153</v>
      </c>
      <c r="E17" s="72">
        <f t="shared" si="4"/>
        <v>9.967315588</v>
      </c>
      <c r="F17" s="72">
        <f t="shared" si="4"/>
        <v>11.94331679</v>
      </c>
      <c r="G17" s="72">
        <f t="shared" si="4"/>
        <v>15.49301226</v>
      </c>
      <c r="H17" s="72">
        <f t="shared" si="4"/>
        <v>19.56779822</v>
      </c>
      <c r="I17" s="72">
        <f t="shared" si="4"/>
        <v>21.56530488</v>
      </c>
      <c r="J17" s="72">
        <f t="shared" si="4"/>
        <v>18.73664653</v>
      </c>
      <c r="K17" s="72">
        <f t="shared" si="4"/>
        <v>12.73042056</v>
      </c>
      <c r="L17" s="72">
        <f t="shared" si="4"/>
        <v>10.46794866</v>
      </c>
      <c r="M17" s="72">
        <f t="shared" si="4"/>
        <v>7.722207446</v>
      </c>
      <c r="N17" s="72">
        <f t="shared" si="4"/>
        <v>9.941238212</v>
      </c>
    </row>
    <row r="19">
      <c r="B19" s="38" t="s">
        <v>50</v>
      </c>
      <c r="C19" s="73">
        <f>C15*$C8*$C9</f>
        <v>15696.47178</v>
      </c>
      <c r="D19" s="73">
        <f t="shared" ref="D19:O19" si="5">D15*$C$8*$C$9</f>
        <v>13457.77941</v>
      </c>
      <c r="E19" s="73">
        <f t="shared" si="5"/>
        <v>15781.58301</v>
      </c>
      <c r="F19" s="73">
        <f t="shared" si="5"/>
        <v>18910.25159</v>
      </c>
      <c r="G19" s="73">
        <f t="shared" si="5"/>
        <v>24530.60274</v>
      </c>
      <c r="H19" s="73">
        <f t="shared" si="5"/>
        <v>30982.34718</v>
      </c>
      <c r="I19" s="73">
        <f t="shared" si="5"/>
        <v>34145.06606</v>
      </c>
      <c r="J19" s="73">
        <f t="shared" si="5"/>
        <v>29666.357</v>
      </c>
      <c r="K19" s="73">
        <f t="shared" si="5"/>
        <v>20156.49922</v>
      </c>
      <c r="L19" s="73">
        <f t="shared" si="5"/>
        <v>16574.25205</v>
      </c>
      <c r="M19" s="73">
        <f t="shared" si="5"/>
        <v>12226.82846</v>
      </c>
      <c r="N19" s="73">
        <f t="shared" si="5"/>
        <v>15740.29384</v>
      </c>
      <c r="O19" s="73">
        <f t="shared" si="5"/>
        <v>247868.3323</v>
      </c>
    </row>
    <row r="22">
      <c r="B22" s="66" t="str">
        <f>'Revenue Forecast'!B6</f>
        <v>Retrofit Doors</v>
      </c>
    </row>
    <row r="23">
      <c r="B23" s="38" t="s">
        <v>39</v>
      </c>
      <c r="C23" s="67">
        <v>3500.0</v>
      </c>
    </row>
    <row r="24">
      <c r="B24" s="38" t="s">
        <v>40</v>
      </c>
      <c r="C24" s="68">
        <v>0.9</v>
      </c>
    </row>
    <row r="25">
      <c r="B25" s="38" t="s">
        <v>51</v>
      </c>
      <c r="C25" s="68">
        <v>0.4</v>
      </c>
    </row>
    <row r="26">
      <c r="B26" s="38" t="s">
        <v>52</v>
      </c>
      <c r="C26" s="67">
        <v>2.0</v>
      </c>
    </row>
    <row r="28">
      <c r="B28" s="38" t="s">
        <v>43</v>
      </c>
      <c r="C28" s="68">
        <v>0.5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>
      <c r="B29" s="38" t="s">
        <v>44</v>
      </c>
      <c r="C29" s="67">
        <v>200.0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>
      <c r="C31" s="38" t="s">
        <v>45</v>
      </c>
      <c r="D31" s="38" t="s">
        <v>2</v>
      </c>
      <c r="E31" s="38" t="s">
        <v>3</v>
      </c>
      <c r="F31" s="38" t="s">
        <v>4</v>
      </c>
      <c r="G31" s="38" t="s">
        <v>5</v>
      </c>
      <c r="H31" s="38" t="s">
        <v>6</v>
      </c>
      <c r="I31" s="38" t="s">
        <v>7</v>
      </c>
      <c r="J31" s="38" t="s">
        <v>8</v>
      </c>
      <c r="K31" s="38" t="s">
        <v>9</v>
      </c>
      <c r="L31" s="38" t="s">
        <v>10</v>
      </c>
      <c r="M31" s="38" t="s">
        <v>11</v>
      </c>
      <c r="N31" s="38" t="s">
        <v>12</v>
      </c>
      <c r="O31" s="38" t="s">
        <v>24</v>
      </c>
    </row>
    <row r="32">
      <c r="B32" s="38" t="str">
        <f>concatenate('Revenue Forecast'!B6, " Revenue")</f>
        <v>Retrofit Doors Revenue</v>
      </c>
      <c r="C32" s="70">
        <f>'Revenue Forecast'!C19</f>
        <v>1003581.001</v>
      </c>
      <c r="D32" s="70">
        <f>'Revenue Forecast'!D19</f>
        <v>1246781.158</v>
      </c>
      <c r="E32" s="70">
        <f>'Revenue Forecast'!E19</f>
        <v>1142348.51</v>
      </c>
      <c r="F32" s="70">
        <f>'Revenue Forecast'!F19</f>
        <v>1602539.176</v>
      </c>
      <c r="G32" s="70">
        <f>'Revenue Forecast'!G19</f>
        <v>2805611.101</v>
      </c>
      <c r="H32" s="70">
        <f>'Revenue Forecast'!H19</f>
        <v>2934097.089</v>
      </c>
      <c r="I32" s="70">
        <f>'Revenue Forecast'!I19</f>
        <v>2710188.103</v>
      </c>
      <c r="J32" s="70">
        <f>'Revenue Forecast'!J19</f>
        <v>2422234.353</v>
      </c>
      <c r="K32" s="70">
        <f>'Revenue Forecast'!K19</f>
        <v>1455532.817</v>
      </c>
      <c r="L32" s="70">
        <f>'Revenue Forecast'!L19</f>
        <v>1184487.349</v>
      </c>
      <c r="M32" s="70">
        <f>'Revenue Forecast'!M19</f>
        <v>1346451.572</v>
      </c>
      <c r="N32" s="70">
        <f>'Revenue Forecast'!N19</f>
        <v>1146147.771</v>
      </c>
      <c r="O32" s="70">
        <f>'Revenue Forecast'!O19</f>
        <v>21000000</v>
      </c>
    </row>
    <row r="33">
      <c r="B33" s="38" t="s">
        <v>46</v>
      </c>
      <c r="C33" s="27">
        <f t="shared" ref="C33:O33" si="6">(C32/$C23)</f>
        <v>286.737429</v>
      </c>
      <c r="D33" s="27">
        <f t="shared" si="6"/>
        <v>356.2231881</v>
      </c>
      <c r="E33" s="27">
        <f t="shared" si="6"/>
        <v>326.3852885</v>
      </c>
      <c r="F33" s="27">
        <f t="shared" si="6"/>
        <v>457.8683359</v>
      </c>
      <c r="G33" s="27">
        <f t="shared" si="6"/>
        <v>801.6031718</v>
      </c>
      <c r="H33" s="27">
        <f t="shared" si="6"/>
        <v>838.313454</v>
      </c>
      <c r="I33" s="27">
        <f t="shared" si="6"/>
        <v>774.339458</v>
      </c>
      <c r="J33" s="27">
        <f t="shared" si="6"/>
        <v>692.0669579</v>
      </c>
      <c r="K33" s="27">
        <f t="shared" si="6"/>
        <v>415.866519</v>
      </c>
      <c r="L33" s="27">
        <f t="shared" si="6"/>
        <v>338.424957</v>
      </c>
      <c r="M33" s="27">
        <f t="shared" si="6"/>
        <v>384.7004491</v>
      </c>
      <c r="N33" s="27">
        <f t="shared" si="6"/>
        <v>327.4707917</v>
      </c>
      <c r="O33" s="27">
        <f t="shared" si="6"/>
        <v>6000</v>
      </c>
    </row>
    <row r="34">
      <c r="B34" s="38" t="s">
        <v>47</v>
      </c>
      <c r="C34" s="27">
        <f t="shared" ref="C34:O34" si="7">C33/$C25</f>
        <v>716.8435725</v>
      </c>
      <c r="D34" s="27">
        <f t="shared" si="7"/>
        <v>890.5579703</v>
      </c>
      <c r="E34" s="27">
        <f t="shared" si="7"/>
        <v>815.9632214</v>
      </c>
      <c r="F34" s="27">
        <f t="shared" si="7"/>
        <v>1144.67084</v>
      </c>
      <c r="G34" s="27">
        <f t="shared" si="7"/>
        <v>2004.007929</v>
      </c>
      <c r="H34" s="27">
        <f t="shared" si="7"/>
        <v>2095.783635</v>
      </c>
      <c r="I34" s="27">
        <f t="shared" si="7"/>
        <v>1935.848645</v>
      </c>
      <c r="J34" s="27">
        <f t="shared" si="7"/>
        <v>1730.167395</v>
      </c>
      <c r="K34" s="27">
        <f t="shared" si="7"/>
        <v>1039.666298</v>
      </c>
      <c r="L34" s="27">
        <f t="shared" si="7"/>
        <v>846.0623924</v>
      </c>
      <c r="M34" s="27">
        <f t="shared" si="7"/>
        <v>961.7511229</v>
      </c>
      <c r="N34" s="27">
        <f t="shared" si="7"/>
        <v>818.6769793</v>
      </c>
      <c r="O34" s="27">
        <f t="shared" si="7"/>
        <v>15000</v>
      </c>
    </row>
    <row r="35">
      <c r="B35" s="38" t="s">
        <v>48</v>
      </c>
      <c r="C35" s="71">
        <f t="shared" ref="C35:O35" si="8">C34/$C24</f>
        <v>796.4928583</v>
      </c>
      <c r="D35" s="71">
        <f t="shared" si="8"/>
        <v>989.5088559</v>
      </c>
      <c r="E35" s="71">
        <f t="shared" si="8"/>
        <v>906.6258015</v>
      </c>
      <c r="F35" s="71">
        <f t="shared" si="8"/>
        <v>1271.856489</v>
      </c>
      <c r="G35" s="71">
        <f t="shared" si="8"/>
        <v>2226.675477</v>
      </c>
      <c r="H35" s="71">
        <f t="shared" si="8"/>
        <v>2328.648483</v>
      </c>
      <c r="I35" s="71">
        <f t="shared" si="8"/>
        <v>2150.942939</v>
      </c>
      <c r="J35" s="71">
        <f t="shared" si="8"/>
        <v>1922.408216</v>
      </c>
      <c r="K35" s="71">
        <f t="shared" si="8"/>
        <v>1155.184775</v>
      </c>
      <c r="L35" s="71">
        <f t="shared" si="8"/>
        <v>940.0693249</v>
      </c>
      <c r="M35" s="71">
        <f t="shared" si="8"/>
        <v>1068.612359</v>
      </c>
      <c r="N35" s="71">
        <f t="shared" si="8"/>
        <v>909.6410881</v>
      </c>
      <c r="O35" s="71">
        <f t="shared" si="8"/>
        <v>16666.66667</v>
      </c>
    </row>
    <row r="37">
      <c r="B37" s="38" t="s">
        <v>20</v>
      </c>
      <c r="C37" s="74">
        <f t="shared" ref="C37:N37" si="9">C34/19/$C26</f>
        <v>18.86430454</v>
      </c>
      <c r="D37" s="74">
        <f t="shared" si="9"/>
        <v>23.43573606</v>
      </c>
      <c r="E37" s="74">
        <f t="shared" si="9"/>
        <v>21.47271635</v>
      </c>
      <c r="F37" s="74">
        <f t="shared" si="9"/>
        <v>30.12291684</v>
      </c>
      <c r="G37" s="74">
        <f t="shared" si="9"/>
        <v>52.73705077</v>
      </c>
      <c r="H37" s="74">
        <f t="shared" si="9"/>
        <v>55.15220092</v>
      </c>
      <c r="I37" s="74">
        <f t="shared" si="9"/>
        <v>50.94338539</v>
      </c>
      <c r="J37" s="74">
        <f t="shared" si="9"/>
        <v>45.53072091</v>
      </c>
      <c r="K37" s="74">
        <f t="shared" si="9"/>
        <v>27.35963941</v>
      </c>
      <c r="L37" s="74">
        <f t="shared" si="9"/>
        <v>22.2647998</v>
      </c>
      <c r="M37" s="74">
        <f t="shared" si="9"/>
        <v>25.30924008</v>
      </c>
      <c r="N37" s="74">
        <f t="shared" si="9"/>
        <v>21.54413103</v>
      </c>
      <c r="O37" s="74"/>
    </row>
    <row r="38">
      <c r="B38" s="3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</row>
    <row r="39">
      <c r="B39" s="38" t="s">
        <v>50</v>
      </c>
      <c r="C39" s="73">
        <f t="shared" ref="C39:O39" si="10">C35*$C28*$C29</f>
        <v>79649.28583</v>
      </c>
      <c r="D39" s="73">
        <f t="shared" si="10"/>
        <v>98950.88559</v>
      </c>
      <c r="E39" s="73">
        <f t="shared" si="10"/>
        <v>90662.58015</v>
      </c>
      <c r="F39" s="73">
        <f t="shared" si="10"/>
        <v>127185.6489</v>
      </c>
      <c r="G39" s="73">
        <f t="shared" si="10"/>
        <v>222667.5477</v>
      </c>
      <c r="H39" s="73">
        <f t="shared" si="10"/>
        <v>232864.8483</v>
      </c>
      <c r="I39" s="73">
        <f t="shared" si="10"/>
        <v>215094.2939</v>
      </c>
      <c r="J39" s="73">
        <f t="shared" si="10"/>
        <v>192240.8216</v>
      </c>
      <c r="K39" s="73">
        <f t="shared" si="10"/>
        <v>115518.4775</v>
      </c>
      <c r="L39" s="73">
        <f t="shared" si="10"/>
        <v>94006.93249</v>
      </c>
      <c r="M39" s="73">
        <f t="shared" si="10"/>
        <v>106861.2359</v>
      </c>
      <c r="N39" s="73">
        <f t="shared" si="10"/>
        <v>90964.10881</v>
      </c>
      <c r="O39" s="73">
        <f t="shared" si="10"/>
        <v>1666666.667</v>
      </c>
    </row>
    <row r="42">
      <c r="B42" s="66" t="str">
        <f>'Revenue Forecast'!B7</f>
        <v>Storage and Flooring</v>
      </c>
    </row>
    <row r="43">
      <c r="B43" s="38" t="s">
        <v>39</v>
      </c>
      <c r="C43" s="67">
        <v>788.0</v>
      </c>
    </row>
    <row r="44">
      <c r="B44" s="38" t="s">
        <v>40</v>
      </c>
      <c r="C44" s="68">
        <v>0.8</v>
      </c>
    </row>
    <row r="45">
      <c r="B45" s="38" t="s">
        <v>41</v>
      </c>
      <c r="C45" s="68">
        <v>0.68</v>
      </c>
    </row>
    <row r="46">
      <c r="B46" s="38" t="s">
        <v>53</v>
      </c>
      <c r="C46" s="67">
        <v>4.0</v>
      </c>
    </row>
    <row r="47">
      <c r="B47" s="38"/>
      <c r="C47" s="75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>
      <c r="B48" s="38" t="s">
        <v>43</v>
      </c>
      <c r="C48" s="68">
        <v>0.31</v>
      </c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>
      <c r="B49" s="38" t="s">
        <v>44</v>
      </c>
      <c r="C49" s="67">
        <v>100.0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>
      <c r="C51" s="38" t="s">
        <v>45</v>
      </c>
      <c r="D51" s="38" t="s">
        <v>2</v>
      </c>
      <c r="E51" s="38" t="s">
        <v>3</v>
      </c>
      <c r="F51" s="38" t="s">
        <v>4</v>
      </c>
      <c r="G51" s="38" t="s">
        <v>5</v>
      </c>
      <c r="H51" s="38" t="s">
        <v>6</v>
      </c>
      <c r="I51" s="38" t="s">
        <v>7</v>
      </c>
      <c r="J51" s="38" t="s">
        <v>8</v>
      </c>
      <c r="K51" s="38" t="s">
        <v>9</v>
      </c>
      <c r="L51" s="38" t="s">
        <v>10</v>
      </c>
      <c r="M51" s="38" t="s">
        <v>11</v>
      </c>
      <c r="N51" s="38" t="s">
        <v>12</v>
      </c>
      <c r="O51" s="38" t="s">
        <v>24</v>
      </c>
    </row>
    <row r="52">
      <c r="B52" s="38" t="str">
        <f>concatenate('Revenue Forecast'!B7, " Revenue")</f>
        <v>Storage and Flooring Revenue</v>
      </c>
      <c r="C52" s="70">
        <f>'Revenue Forecast'!C24</f>
        <v>416666.5</v>
      </c>
      <c r="D52" s="70">
        <f>'Revenue Forecast'!D24</f>
        <v>416666.5</v>
      </c>
      <c r="E52" s="70">
        <f>'Revenue Forecast'!E24</f>
        <v>416666.5</v>
      </c>
      <c r="F52" s="70">
        <f>'Revenue Forecast'!F24</f>
        <v>416666.5</v>
      </c>
      <c r="G52" s="70">
        <f>'Revenue Forecast'!G24</f>
        <v>416666.5</v>
      </c>
      <c r="H52" s="70">
        <f>'Revenue Forecast'!H24</f>
        <v>416666.5</v>
      </c>
      <c r="I52" s="70">
        <f>'Revenue Forecast'!I24</f>
        <v>416666.5</v>
      </c>
      <c r="J52" s="70">
        <f>'Revenue Forecast'!J24</f>
        <v>416666.5</v>
      </c>
      <c r="K52" s="70">
        <f>'Revenue Forecast'!K24</f>
        <v>416666.5</v>
      </c>
      <c r="L52" s="70">
        <f>'Revenue Forecast'!L24</f>
        <v>416666.5</v>
      </c>
      <c r="M52" s="70">
        <f>'Revenue Forecast'!M24</f>
        <v>416666.5</v>
      </c>
      <c r="N52" s="70">
        <f>'Revenue Forecast'!N24</f>
        <v>416666.5</v>
      </c>
      <c r="O52" s="70">
        <f>'Revenue Forecast'!O24</f>
        <v>5000000</v>
      </c>
    </row>
    <row r="53">
      <c r="B53" s="38" t="s">
        <v>46</v>
      </c>
      <c r="C53" s="27">
        <f t="shared" ref="C53:O53" si="11">(C52/$C43)</f>
        <v>528.7645939</v>
      </c>
      <c r="D53" s="27">
        <f t="shared" si="11"/>
        <v>528.7645939</v>
      </c>
      <c r="E53" s="27">
        <f t="shared" si="11"/>
        <v>528.7645939</v>
      </c>
      <c r="F53" s="27">
        <f t="shared" si="11"/>
        <v>528.7645939</v>
      </c>
      <c r="G53" s="27">
        <f t="shared" si="11"/>
        <v>528.7645939</v>
      </c>
      <c r="H53" s="27">
        <f t="shared" si="11"/>
        <v>528.7645939</v>
      </c>
      <c r="I53" s="27">
        <f t="shared" si="11"/>
        <v>528.7645939</v>
      </c>
      <c r="J53" s="27">
        <f t="shared" si="11"/>
        <v>528.7645939</v>
      </c>
      <c r="K53" s="27">
        <f t="shared" si="11"/>
        <v>528.7645939</v>
      </c>
      <c r="L53" s="27">
        <f t="shared" si="11"/>
        <v>528.7645939</v>
      </c>
      <c r="M53" s="27">
        <f t="shared" si="11"/>
        <v>528.7645939</v>
      </c>
      <c r="N53" s="27">
        <f t="shared" si="11"/>
        <v>528.7645939</v>
      </c>
      <c r="O53" s="27">
        <f t="shared" si="11"/>
        <v>6345.177665</v>
      </c>
    </row>
    <row r="54">
      <c r="B54" s="38" t="s">
        <v>47</v>
      </c>
      <c r="C54" s="27">
        <f t="shared" ref="C54:O54" si="12">C53/$C45</f>
        <v>777.594991</v>
      </c>
      <c r="D54" s="27">
        <f t="shared" si="12"/>
        <v>777.594991</v>
      </c>
      <c r="E54" s="27">
        <f t="shared" si="12"/>
        <v>777.594991</v>
      </c>
      <c r="F54" s="27">
        <f t="shared" si="12"/>
        <v>777.594991</v>
      </c>
      <c r="G54" s="27">
        <f t="shared" si="12"/>
        <v>777.594991</v>
      </c>
      <c r="H54" s="27">
        <f t="shared" si="12"/>
        <v>777.594991</v>
      </c>
      <c r="I54" s="27">
        <f t="shared" si="12"/>
        <v>777.594991</v>
      </c>
      <c r="J54" s="27">
        <f t="shared" si="12"/>
        <v>777.594991</v>
      </c>
      <c r="K54" s="27">
        <f t="shared" si="12"/>
        <v>777.594991</v>
      </c>
      <c r="L54" s="27">
        <f t="shared" si="12"/>
        <v>777.594991</v>
      </c>
      <c r="M54" s="27">
        <f t="shared" si="12"/>
        <v>777.594991</v>
      </c>
      <c r="N54" s="27">
        <f t="shared" si="12"/>
        <v>777.594991</v>
      </c>
      <c r="O54" s="27">
        <f t="shared" si="12"/>
        <v>9331.143625</v>
      </c>
    </row>
    <row r="55">
      <c r="B55" s="38" t="s">
        <v>48</v>
      </c>
      <c r="C55" s="71">
        <f t="shared" ref="C55:O55" si="13">C54/$C44</f>
        <v>971.9937388</v>
      </c>
      <c r="D55" s="71">
        <f t="shared" si="13"/>
        <v>971.9937388</v>
      </c>
      <c r="E55" s="71">
        <f t="shared" si="13"/>
        <v>971.9937388</v>
      </c>
      <c r="F55" s="71">
        <f t="shared" si="13"/>
        <v>971.9937388</v>
      </c>
      <c r="G55" s="71">
        <f t="shared" si="13"/>
        <v>971.9937388</v>
      </c>
      <c r="H55" s="71">
        <f t="shared" si="13"/>
        <v>971.9937388</v>
      </c>
      <c r="I55" s="71">
        <f t="shared" si="13"/>
        <v>971.9937388</v>
      </c>
      <c r="J55" s="71">
        <f t="shared" si="13"/>
        <v>971.9937388</v>
      </c>
      <c r="K55" s="71">
        <f t="shared" si="13"/>
        <v>971.9937388</v>
      </c>
      <c r="L55" s="71">
        <f t="shared" si="13"/>
        <v>971.9937388</v>
      </c>
      <c r="M55" s="71">
        <f t="shared" si="13"/>
        <v>971.9937388</v>
      </c>
      <c r="N55" s="71">
        <f t="shared" si="13"/>
        <v>971.9937388</v>
      </c>
      <c r="O55" s="71">
        <f t="shared" si="13"/>
        <v>11663.92953</v>
      </c>
    </row>
    <row r="57">
      <c r="B57" s="38" t="s">
        <v>54</v>
      </c>
      <c r="C57" s="72">
        <f t="shared" ref="C57:N57" si="14">C54/$C46/19</f>
        <v>10.23151304</v>
      </c>
      <c r="D57" s="72">
        <f t="shared" si="14"/>
        <v>10.23151304</v>
      </c>
      <c r="E57" s="72">
        <f t="shared" si="14"/>
        <v>10.23151304</v>
      </c>
      <c r="F57" s="72">
        <f t="shared" si="14"/>
        <v>10.23151304</v>
      </c>
      <c r="G57" s="72">
        <f t="shared" si="14"/>
        <v>10.23151304</v>
      </c>
      <c r="H57" s="72">
        <f t="shared" si="14"/>
        <v>10.23151304</v>
      </c>
      <c r="I57" s="72">
        <f t="shared" si="14"/>
        <v>10.23151304</v>
      </c>
      <c r="J57" s="72">
        <f t="shared" si="14"/>
        <v>10.23151304</v>
      </c>
      <c r="K57" s="72">
        <f t="shared" si="14"/>
        <v>10.23151304</v>
      </c>
      <c r="L57" s="72">
        <f t="shared" si="14"/>
        <v>10.23151304</v>
      </c>
      <c r="M57" s="72">
        <f t="shared" si="14"/>
        <v>10.23151304</v>
      </c>
      <c r="N57" s="72">
        <f t="shared" si="14"/>
        <v>10.23151304</v>
      </c>
    </row>
    <row r="59">
      <c r="B59" s="38" t="s">
        <v>50</v>
      </c>
      <c r="C59" s="73">
        <f t="shared" ref="C59:O59" si="15">C55*$C48*$C49</f>
        <v>30131.8059</v>
      </c>
      <c r="D59" s="73">
        <f t="shared" si="15"/>
        <v>30131.8059</v>
      </c>
      <c r="E59" s="73">
        <f t="shared" si="15"/>
        <v>30131.8059</v>
      </c>
      <c r="F59" s="73">
        <f t="shared" si="15"/>
        <v>30131.8059</v>
      </c>
      <c r="G59" s="73">
        <f t="shared" si="15"/>
        <v>30131.8059</v>
      </c>
      <c r="H59" s="73">
        <f t="shared" si="15"/>
        <v>30131.8059</v>
      </c>
      <c r="I59" s="73">
        <f t="shared" si="15"/>
        <v>30131.8059</v>
      </c>
      <c r="J59" s="73">
        <f t="shared" si="15"/>
        <v>30131.8059</v>
      </c>
      <c r="K59" s="73">
        <f t="shared" si="15"/>
        <v>30131.8059</v>
      </c>
      <c r="L59" s="73">
        <f t="shared" si="15"/>
        <v>30131.8059</v>
      </c>
      <c r="M59" s="73">
        <f t="shared" si="15"/>
        <v>30131.8059</v>
      </c>
      <c r="N59" s="73">
        <f t="shared" si="15"/>
        <v>30131.8059</v>
      </c>
      <c r="O59" s="73">
        <f t="shared" si="15"/>
        <v>361581.8155</v>
      </c>
    </row>
    <row r="63">
      <c r="B63" s="66" t="s">
        <v>55</v>
      </c>
    </row>
    <row r="65">
      <c r="B65" s="38" t="s">
        <v>56</v>
      </c>
      <c r="C65" s="67">
        <v>400.0</v>
      </c>
    </row>
    <row r="66">
      <c r="B66" s="38"/>
      <c r="C66" s="38" t="s">
        <v>11</v>
      </c>
      <c r="D66" s="38" t="s">
        <v>12</v>
      </c>
      <c r="E66" s="38" t="s">
        <v>45</v>
      </c>
      <c r="F66" s="38" t="s">
        <v>2</v>
      </c>
      <c r="G66" s="38" t="s">
        <v>3</v>
      </c>
      <c r="H66" s="38" t="s">
        <v>4</v>
      </c>
      <c r="I66" s="38" t="s">
        <v>5</v>
      </c>
      <c r="J66" s="38" t="s">
        <v>6</v>
      </c>
      <c r="K66" s="38" t="s">
        <v>7</v>
      </c>
      <c r="L66" s="38" t="s">
        <v>8</v>
      </c>
      <c r="M66" s="38" t="s">
        <v>9</v>
      </c>
      <c r="N66" s="38" t="s">
        <v>10</v>
      </c>
      <c r="O66" s="38" t="s">
        <v>24</v>
      </c>
    </row>
    <row r="67">
      <c r="B67" s="38" t="s">
        <v>57</v>
      </c>
      <c r="C67" s="27">
        <f t="shared" ref="C67:O67" si="16">sum(C53,C33,C13)</f>
        <v>1433.315152</v>
      </c>
      <c r="D67" s="27">
        <f t="shared" si="16"/>
        <v>1414.68598</v>
      </c>
      <c r="E67" s="27">
        <f t="shared" si="16"/>
        <v>1476.31299</v>
      </c>
      <c r="F67" s="27">
        <f t="shared" si="16"/>
        <v>1730.940432</v>
      </c>
      <c r="G67" s="27">
        <f t="shared" si="16"/>
        <v>2295.89229</v>
      </c>
      <c r="H67" s="27">
        <f t="shared" si="16"/>
        <v>2586.543233</v>
      </c>
      <c r="I67" s="27">
        <f t="shared" si="16"/>
        <v>2647.053852</v>
      </c>
      <c r="J67" s="27">
        <f t="shared" si="16"/>
        <v>2388.499363</v>
      </c>
      <c r="K67" s="27">
        <f t="shared" si="16"/>
        <v>1737.990922</v>
      </c>
      <c r="L67" s="27">
        <f t="shared" si="16"/>
        <v>1519.552112</v>
      </c>
      <c r="M67" s="27">
        <f t="shared" si="16"/>
        <v>1394.713011</v>
      </c>
      <c r="N67" s="27">
        <f t="shared" si="16"/>
        <v>1475.773351</v>
      </c>
      <c r="O67" s="27">
        <f t="shared" si="16"/>
        <v>22101.27523</v>
      </c>
    </row>
    <row r="68">
      <c r="B68" s="38" t="s">
        <v>58</v>
      </c>
      <c r="C68" s="27">
        <f t="shared" ref="C68:O68" si="17">(C54+C34+C14)</f>
        <v>2247.869209</v>
      </c>
      <c r="D68" s="27">
        <f t="shared" si="17"/>
        <v>2314.126373</v>
      </c>
      <c r="E68" s="27">
        <f t="shared" si="17"/>
        <v>2351.074197</v>
      </c>
      <c r="F68" s="27">
        <f t="shared" si="17"/>
        <v>2829.957907</v>
      </c>
      <c r="G68" s="27">
        <f t="shared" si="17"/>
        <v>3959.071852</v>
      </c>
      <c r="H68" s="27">
        <f t="shared" si="17"/>
        <v>4360.53129</v>
      </c>
      <c r="I68" s="27">
        <f t="shared" si="17"/>
        <v>4352.406807</v>
      </c>
      <c r="J68" s="27">
        <f t="shared" si="17"/>
        <v>3931.747522</v>
      </c>
      <c r="K68" s="27">
        <f t="shared" si="17"/>
        <v>2784.773251</v>
      </c>
      <c r="L68" s="27">
        <f t="shared" si="17"/>
        <v>2419.221482</v>
      </c>
      <c r="M68" s="27">
        <f t="shared" si="17"/>
        <v>2326.23388</v>
      </c>
      <c r="N68" s="27">
        <f t="shared" si="17"/>
        <v>2351.806074</v>
      </c>
      <c r="O68" s="27">
        <f t="shared" si="17"/>
        <v>36228.82358</v>
      </c>
    </row>
    <row r="69">
      <c r="B69" s="38" t="s">
        <v>59</v>
      </c>
      <c r="C69" s="71">
        <f t="shared" ref="C69:O69" si="18">(C55+C35+C15)</f>
        <v>2814.918049</v>
      </c>
      <c r="D69" s="71">
        <f t="shared" si="18"/>
        <v>2858.687889</v>
      </c>
      <c r="E69" s="71">
        <f t="shared" si="18"/>
        <v>2930.725075</v>
      </c>
      <c r="F69" s="71">
        <f t="shared" si="18"/>
        <v>3504.533667</v>
      </c>
      <c r="G69" s="71">
        <f t="shared" si="18"/>
        <v>4834.042732</v>
      </c>
      <c r="H69" s="71">
        <f t="shared" si="18"/>
        <v>5366.132034</v>
      </c>
      <c r="I69" s="71">
        <f t="shared" si="18"/>
        <v>5399.274415</v>
      </c>
      <c r="J69" s="71">
        <f t="shared" si="18"/>
        <v>4872.159088</v>
      </c>
      <c r="K69" s="71">
        <f t="shared" si="18"/>
        <v>3470.945129</v>
      </c>
      <c r="L69" s="71">
        <f t="shared" si="18"/>
        <v>3017.013201</v>
      </c>
      <c r="M69" s="71">
        <f t="shared" si="18"/>
        <v>2855.727995</v>
      </c>
      <c r="N69" s="71">
        <f t="shared" si="18"/>
        <v>2930.987749</v>
      </c>
      <c r="O69" s="71">
        <f t="shared" si="18"/>
        <v>44855.15169</v>
      </c>
    </row>
    <row r="71">
      <c r="B71" s="38" t="s">
        <v>60</v>
      </c>
      <c r="C71" s="73">
        <f t="shared" ref="C71:N71" si="19">C59+C39+C19</f>
        <v>125477.5635</v>
      </c>
      <c r="D71" s="73">
        <f t="shared" si="19"/>
        <v>142540.4709</v>
      </c>
      <c r="E71" s="73">
        <f t="shared" si="19"/>
        <v>136575.9691</v>
      </c>
      <c r="F71" s="73">
        <f t="shared" si="19"/>
        <v>176227.7064</v>
      </c>
      <c r="G71" s="73">
        <f t="shared" si="19"/>
        <v>277329.9564</v>
      </c>
      <c r="H71" s="73">
        <f t="shared" si="19"/>
        <v>293979.0014</v>
      </c>
      <c r="I71" s="73">
        <f t="shared" si="19"/>
        <v>279371.1658</v>
      </c>
      <c r="J71" s="73">
        <f t="shared" si="19"/>
        <v>252038.9845</v>
      </c>
      <c r="K71" s="73">
        <f t="shared" si="19"/>
        <v>165806.7826</v>
      </c>
      <c r="L71" s="73">
        <f t="shared" si="19"/>
        <v>140712.9904</v>
      </c>
      <c r="M71" s="73">
        <f t="shared" si="19"/>
        <v>149219.8702</v>
      </c>
      <c r="N71" s="73">
        <f t="shared" si="19"/>
        <v>136836.2085</v>
      </c>
      <c r="O71" s="73">
        <f>sum(C71:N71)</f>
        <v>2276116.67</v>
      </c>
    </row>
    <row r="72">
      <c r="B72" s="38" t="s">
        <v>61</v>
      </c>
      <c r="C72" s="74">
        <f t="shared" ref="C72:N72" si="20">C69/$C65</f>
        <v>7.037295124</v>
      </c>
      <c r="D72" s="74">
        <f t="shared" si="20"/>
        <v>7.146719721</v>
      </c>
      <c r="E72" s="74">
        <f t="shared" si="20"/>
        <v>7.326812686</v>
      </c>
      <c r="F72" s="74">
        <f t="shared" si="20"/>
        <v>8.761334167</v>
      </c>
      <c r="G72" s="74">
        <f t="shared" si="20"/>
        <v>12.08510683</v>
      </c>
      <c r="H72" s="74">
        <f t="shared" si="20"/>
        <v>13.41533008</v>
      </c>
      <c r="I72" s="74">
        <f t="shared" si="20"/>
        <v>13.49818604</v>
      </c>
      <c r="J72" s="74">
        <f t="shared" si="20"/>
        <v>12.18039772</v>
      </c>
      <c r="K72" s="74">
        <f t="shared" si="20"/>
        <v>8.677362821</v>
      </c>
      <c r="L72" s="74">
        <f t="shared" si="20"/>
        <v>7.542533001</v>
      </c>
      <c r="M72" s="74">
        <f t="shared" si="20"/>
        <v>7.139319987</v>
      </c>
      <c r="N72" s="74">
        <f t="shared" si="20"/>
        <v>7.327469373</v>
      </c>
    </row>
  </sheetData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CF62FA5E54FC48AB7E5A75BFAE6C28" ma:contentTypeVersion="4" ma:contentTypeDescription="Create a new document." ma:contentTypeScope="" ma:versionID="621d2d0866492e53ae62b2193e4ac06f">
  <xsd:schema xmlns:xsd="http://www.w3.org/2001/XMLSchema" xmlns:xs="http://www.w3.org/2001/XMLSchema" xmlns:p="http://schemas.microsoft.com/office/2006/metadata/properties" xmlns:ns2="8765a437-017f-4ee4-b144-169b480fe271" xmlns:ns3="9ccf7103-7e66-4be0-a4fe-ad9f12890291" targetNamespace="http://schemas.microsoft.com/office/2006/metadata/properties" ma:root="true" ma:fieldsID="bb884c100580437c6bf4ca0ca63f991b" ns2:_="" ns3:_="">
    <xsd:import namespace="8765a437-017f-4ee4-b144-169b480fe271"/>
    <xsd:import namespace="9ccf7103-7e66-4be0-a4fe-ad9f128902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65a437-017f-4ee4-b144-169b480fe2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cf7103-7e66-4be0-a4fe-ad9f128902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ccf7103-7e66-4be0-a4fe-ad9f12890291">
      <UserInfo>
        <DisplayName>John Baird</DisplayName>
        <AccountId>115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433C93-9F59-4560-AC75-C10EC604E87E}"/>
</file>

<file path=customXml/itemProps2.xml><?xml version="1.0" encoding="utf-8"?>
<ds:datastoreItem xmlns:ds="http://schemas.openxmlformats.org/officeDocument/2006/customXml" ds:itemID="{5DCF2022-844C-48A7-969B-D24D3D42EC7F}"/>
</file>

<file path=customXml/itemProps3.xml><?xml version="1.0" encoding="utf-8"?>
<ds:datastoreItem xmlns:ds="http://schemas.openxmlformats.org/officeDocument/2006/customXml" ds:itemID="{6A35001E-236D-40C1-A5FD-4FA96E92466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0x010100B1CF62FA5E54FC48AB7E5A75BFAE6C28</vt:lpwstr>
  </property>
</Properties>
</file>